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eorge\Farm Mgt Consulting Information 2014\TF Replant Project Jan_March 2015\Final TF Replant Budgets_03Jun15\"/>
    </mc:Choice>
  </mc:AlternateContent>
  <bookViews>
    <workbookView xWindow="0" yWindow="0" windowWidth="25200" windowHeight="11985"/>
  </bookViews>
  <sheets>
    <sheet name="Apple Replant Budget" sheetId="1" r:id="rId1"/>
    <sheet name="Instructions" sheetId="2" r:id="rId2"/>
  </sheets>
  <definedNames>
    <definedName name="_xlnm.Print_Area" localSheetId="0">'Apple Replant Budget'!$A$1:$I$53</definedName>
    <definedName name="_xlnm.Print_Area" localSheetId="1">Instructions!$A$1:$N$39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1" i="1" l="1"/>
  <c r="C12" i="1" l="1"/>
  <c r="C13" i="1" s="1"/>
  <c r="D15" i="1"/>
  <c r="E15" i="1" s="1"/>
  <c r="F15" i="1" s="1"/>
  <c r="G15" i="1" s="1"/>
  <c r="H15" i="1" s="1"/>
  <c r="I15" i="1" s="1"/>
  <c r="G14" i="1"/>
  <c r="E42" i="1" l="1"/>
  <c r="D28" i="1"/>
  <c r="E34" i="1"/>
  <c r="D34" i="1"/>
  <c r="B16" i="1"/>
  <c r="C40" i="1" l="1"/>
  <c r="C41" i="1" s="1"/>
  <c r="C39" i="1"/>
  <c r="D35" i="1"/>
  <c r="E31" i="1"/>
  <c r="I26" i="1"/>
  <c r="H26" i="1"/>
  <c r="G26" i="1"/>
  <c r="F26" i="1"/>
  <c r="E26" i="1"/>
  <c r="D26" i="1"/>
  <c r="D22" i="1"/>
  <c r="E22" i="1" s="1"/>
  <c r="F22" i="1" s="1"/>
  <c r="G22" i="1" s="1"/>
  <c r="H22" i="1" s="1"/>
  <c r="I22" i="1" s="1"/>
  <c r="E21" i="1"/>
  <c r="H20" i="1"/>
  <c r="D18" i="1"/>
  <c r="E18" i="1" s="1"/>
  <c r="F18" i="1" s="1"/>
  <c r="G18" i="1" s="1"/>
  <c r="H18" i="1" s="1"/>
  <c r="I18" i="1" s="1"/>
  <c r="S10" i="1"/>
  <c r="S9" i="1"/>
  <c r="S8" i="1"/>
  <c r="S7" i="1"/>
  <c r="S6" i="1"/>
  <c r="S5" i="1"/>
  <c r="S4" i="1"/>
  <c r="S3" i="1"/>
  <c r="E35" i="1" l="1"/>
  <c r="D72" i="1" s="1"/>
  <c r="F40" i="1"/>
  <c r="G40" i="1"/>
  <c r="D40" i="1"/>
  <c r="H40" i="1"/>
  <c r="E40" i="1"/>
  <c r="I40" i="1"/>
  <c r="A40" i="1"/>
  <c r="E43" i="1" l="1"/>
  <c r="D43" i="1"/>
  <c r="F43" i="1"/>
  <c r="D32" i="1"/>
  <c r="D70" i="1" s="1"/>
  <c r="G38" i="1"/>
  <c r="E38" i="1"/>
  <c r="H37" i="1"/>
  <c r="H36" i="1"/>
  <c r="E36" i="1"/>
  <c r="D38" i="1"/>
  <c r="I36" i="1"/>
  <c r="H38" i="1"/>
  <c r="I37" i="1"/>
  <c r="I38" i="1"/>
  <c r="F37" i="1"/>
  <c r="E37" i="1"/>
  <c r="G36" i="1"/>
  <c r="F38" i="1"/>
  <c r="G37" i="1"/>
  <c r="D37" i="1"/>
  <c r="F36" i="1"/>
  <c r="D81" i="1" s="1"/>
  <c r="D36" i="1"/>
  <c r="G43" i="1"/>
  <c r="H43" i="1" s="1"/>
  <c r="F42" i="1"/>
  <c r="G42" i="1" s="1"/>
  <c r="H42" i="1" s="1"/>
  <c r="I42" i="1" s="1"/>
  <c r="G41" i="1"/>
  <c r="F39" i="1"/>
  <c r="F25" i="1"/>
  <c r="F24" i="1" s="1"/>
  <c r="F23" i="1" s="1"/>
  <c r="D42" i="1"/>
  <c r="F41" i="1"/>
  <c r="I39" i="1"/>
  <c r="E39" i="1"/>
  <c r="D31" i="1"/>
  <c r="D69" i="1" s="1"/>
  <c r="I25" i="1"/>
  <c r="I24" i="1" s="1"/>
  <c r="I23" i="1" s="1"/>
  <c r="E25" i="1"/>
  <c r="E24" i="1" s="1"/>
  <c r="E23" i="1" s="1"/>
  <c r="I41" i="1"/>
  <c r="E41" i="1"/>
  <c r="H39" i="1"/>
  <c r="D39" i="1"/>
  <c r="D33" i="1"/>
  <c r="H25" i="1"/>
  <c r="H24" i="1" s="1"/>
  <c r="H23" i="1" s="1"/>
  <c r="D25" i="1"/>
  <c r="D24" i="1" s="1"/>
  <c r="A21" i="1"/>
  <c r="H41" i="1"/>
  <c r="D41" i="1"/>
  <c r="G39" i="1"/>
  <c r="G25" i="1"/>
  <c r="G24" i="1" s="1"/>
  <c r="G23" i="1" s="1"/>
  <c r="D44" i="1" l="1"/>
  <c r="D23" i="1"/>
  <c r="D89" i="1"/>
  <c r="D88" i="1"/>
  <c r="I43" i="1"/>
  <c r="D90" i="1" s="1"/>
  <c r="D83" i="1"/>
  <c r="D74" i="1"/>
  <c r="D82" i="1"/>
  <c r="D73" i="1"/>
  <c r="D75" i="1"/>
  <c r="D27" i="1"/>
  <c r="D29" i="1" s="1"/>
  <c r="E44" i="1"/>
  <c r="E27" i="1"/>
  <c r="E29" i="1" s="1"/>
  <c r="G44" i="1"/>
  <c r="G27" i="1"/>
  <c r="G29" i="1" s="1"/>
  <c r="H44" i="1"/>
  <c r="H27" i="1"/>
  <c r="H29" i="1" s="1"/>
  <c r="I44" i="1"/>
  <c r="I27" i="1"/>
  <c r="I29" i="1" s="1"/>
  <c r="F27" i="1"/>
  <c r="F29" i="1" s="1"/>
  <c r="F44" i="1"/>
  <c r="D45" i="1"/>
  <c r="D46" i="1" s="1"/>
  <c r="F34" i="1"/>
  <c r="D91" i="1" l="1"/>
  <c r="D76" i="1"/>
  <c r="D84" i="1"/>
  <c r="E45" i="1"/>
  <c r="E46" i="1" s="1"/>
  <c r="E47" i="1" s="1"/>
  <c r="D47" i="1"/>
  <c r="D48" i="1" s="1"/>
  <c r="F45" i="1"/>
  <c r="F46" i="1" s="1"/>
  <c r="G34" i="1"/>
  <c r="D77" i="1" l="1"/>
  <c r="D78" i="1" s="1"/>
  <c r="F47" i="1"/>
  <c r="E48" i="1"/>
  <c r="G45" i="1"/>
  <c r="G46" i="1" s="1"/>
  <c r="G47" i="1" s="1"/>
  <c r="H34" i="1"/>
  <c r="I69" i="1" l="1"/>
  <c r="I70" i="1"/>
  <c r="I71" i="1"/>
  <c r="I74" i="1"/>
  <c r="I73" i="1"/>
  <c r="I75" i="1"/>
  <c r="I72" i="1"/>
  <c r="I76" i="1"/>
  <c r="F48" i="1"/>
  <c r="G48" i="1" s="1"/>
  <c r="I77" i="1"/>
  <c r="C78" i="1"/>
  <c r="D85" i="1"/>
  <c r="I34" i="1"/>
  <c r="H45" i="1"/>
  <c r="H46" i="1" s="1"/>
  <c r="D86" i="1" l="1"/>
  <c r="I85" i="1" s="1"/>
  <c r="I78" i="1"/>
  <c r="H47" i="1"/>
  <c r="H48" i="1" s="1"/>
  <c r="I45" i="1"/>
  <c r="I46" i="1" s="1"/>
  <c r="I47" i="1" s="1"/>
  <c r="I81" i="1" l="1"/>
  <c r="I82" i="1"/>
  <c r="I83" i="1"/>
  <c r="I84" i="1"/>
  <c r="C86" i="1"/>
  <c r="D92" i="1"/>
  <c r="I48" i="1"/>
  <c r="D93" i="1" l="1"/>
  <c r="I86" i="1"/>
  <c r="I90" i="1" l="1"/>
  <c r="I89" i="1"/>
  <c r="I91" i="1"/>
  <c r="I88" i="1"/>
  <c r="I93" i="1" s="1"/>
  <c r="C93" i="1"/>
  <c r="I92" i="1"/>
</calcChain>
</file>

<file path=xl/sharedStrings.xml><?xml version="1.0" encoding="utf-8"?>
<sst xmlns="http://schemas.openxmlformats.org/spreadsheetml/2006/main" count="163" uniqueCount="118">
  <si>
    <t xml:space="preserve">Blue cells require input for your specific situation.  </t>
  </si>
  <si>
    <t>Nursery Tree Cost:</t>
  </si>
  <si>
    <t>per tree</t>
  </si>
  <si>
    <t>Historical Prices</t>
  </si>
  <si>
    <t>Planting Year:</t>
  </si>
  <si>
    <t>Tree Remove/Land Preparation:</t>
  </si>
  <si>
    <t>per acre</t>
  </si>
  <si>
    <t>(Pool Avg. $/lb.- 85% Packout)</t>
  </si>
  <si>
    <t>Variety:</t>
  </si>
  <si>
    <t>Ambrosia</t>
  </si>
  <si>
    <t>Soil Amendments:</t>
  </si>
  <si>
    <t>Gala</t>
  </si>
  <si>
    <t xml:space="preserve"> Rootstock:</t>
  </si>
  <si>
    <t>Support System/Install:</t>
  </si>
  <si>
    <t>Training System:</t>
  </si>
  <si>
    <t>Irrigation System/Install:</t>
  </si>
  <si>
    <t>Spartan</t>
  </si>
  <si>
    <t>Spacing</t>
  </si>
  <si>
    <t>Fuji</t>
  </si>
  <si>
    <t>Hourly Hired Labor Cost (total):</t>
  </si>
  <si>
    <t>per hour</t>
  </si>
  <si>
    <t>Golden Delicious</t>
  </si>
  <si>
    <t>Percent Hired Labor:</t>
  </si>
  <si>
    <t>Honey Crisp</t>
  </si>
  <si>
    <t>If Applic.</t>
  </si>
  <si>
    <t>Granny Smith</t>
  </si>
  <si>
    <t>Density:</t>
  </si>
  <si>
    <t>Planting Project Area:</t>
  </si>
  <si>
    <t>Acres</t>
  </si>
  <si>
    <t>Replant Block Area</t>
  </si>
  <si>
    <t>PLANTING PROJECT BUDGET</t>
  </si>
  <si>
    <t>(Nursery Tree)</t>
  </si>
  <si>
    <t>PROJECTED YIELDS &amp; CASH INFLOW</t>
  </si>
  <si>
    <t>Yield Projections (lb./tree)</t>
  </si>
  <si>
    <t>Total Block Yield (Pounds)</t>
  </si>
  <si>
    <t>Total Block Yield (800 lb. Bins)</t>
  </si>
  <si>
    <t>Price ($/lb.)</t>
  </si>
  <si>
    <t>BioAssay Test Grant/ Tree Grant</t>
  </si>
  <si>
    <t>TOTAL CASH INFLOW</t>
  </si>
  <si>
    <t>PROJECTED COSTS &amp; OUTFLOW</t>
  </si>
  <si>
    <t>Tr.Removal/Land Prep/Planting Labour</t>
  </si>
  <si>
    <t>Support System/Install</t>
  </si>
  <si>
    <t>Irrigation System/Tax</t>
  </si>
  <si>
    <t>3% Mortality</t>
  </si>
  <si>
    <t xml:space="preserve"> </t>
  </si>
  <si>
    <r>
      <t>General Labor</t>
    </r>
    <r>
      <rPr>
        <sz val="10"/>
        <rFont val="Calibri"/>
        <family val="2"/>
        <scheme val="minor"/>
      </rPr>
      <t>(Spray,etc.)</t>
    </r>
  </si>
  <si>
    <t>Thinning</t>
  </si>
  <si>
    <t>Cover Crop/Hives</t>
  </si>
  <si>
    <t>($100/ac)</t>
  </si>
  <si>
    <t>Harvesting/Yarding</t>
  </si>
  <si>
    <t>$0.028/lb.</t>
  </si>
  <si>
    <t>Miscellaneous Costs</t>
  </si>
  <si>
    <t>Avg.</t>
  </si>
  <si>
    <t>BioAssay Test Cost:</t>
  </si>
  <si>
    <t>Soil Tests/ Amendments</t>
  </si>
  <si>
    <t>Input Section (Blue)</t>
  </si>
  <si>
    <t xml:space="preserve">Planting Information-  </t>
  </si>
  <si>
    <t xml:space="preserve">Spacing-  </t>
  </si>
  <si>
    <t>Enter the spacing between rows (in feet) and spacing between trees (in feet).</t>
  </si>
  <si>
    <t xml:space="preserve">Number of Trees-  </t>
  </si>
  <si>
    <t xml:space="preserve">Major input cost items-  </t>
  </si>
  <si>
    <t xml:space="preserve">Price Projections-  </t>
  </si>
  <si>
    <t>Printing Results</t>
  </si>
  <si>
    <t>Apple Replant- Nursery Tree</t>
  </si>
  <si>
    <t>Return to Apple (Nursery Tree) Cashflow Budget Worksheet</t>
  </si>
  <si>
    <t>Indicate the planting year (e.g. 2015), variety, rootstock and training system planned for your project.</t>
  </si>
  <si>
    <t>Planting Labour/Materials:</t>
  </si>
  <si>
    <t>Enter your price projections for marketable fruit in $ per pound from planting to year 6.</t>
  </si>
  <si>
    <t xml:space="preserve">Yields-  </t>
  </si>
  <si>
    <t>INSTRUCTION FOR USE- TREE FRUIT REPLANT CASHFLOW WORKSHEET.</t>
  </si>
  <si>
    <t>Grower Name:</t>
  </si>
  <si>
    <t>TREE FRUIT REPLANT PARTIAL CASHFLOW BUDGET- Apples (Nursery Tree)</t>
  </si>
  <si>
    <t xml:space="preserve">Grower Name-  </t>
  </si>
  <si>
    <t>Enter your name as it appears on the Tree Fruit Replant Program Application Form.</t>
  </si>
  <si>
    <t>Row (ft.):</t>
  </si>
  <si>
    <t>x  Tree (ft.):</t>
  </si>
  <si>
    <t># Trees being Planted:</t>
  </si>
  <si>
    <t>These 'cells' require input/changes to reflect your specific situation, and are used along with other industry average costs to calculate the cash flow projections for the replant project.</t>
  </si>
  <si>
    <t>Enter the number of trees being planting. This will be used to calculate the planting density, planting project area and tree grant.</t>
  </si>
  <si>
    <t>Enter your hourly hired labor cost, and BioAssay test cost (if applicable). If a bioassay cost is entered, the bioassay grant will be added to the grant income.</t>
  </si>
  <si>
    <t>Enter your yield projections for marketable fruit in bins (800lb.) per acre for each year. Yields must be stated in bins per acre to work properly with the calculations for income and harvest costs.</t>
  </si>
  <si>
    <t>To print the budget, go to File/Print and the Excel will print the file to your specified printer. Include this Partial Cashflow Budget with your Tree Fruit Replant Grant Application.</t>
  </si>
  <si>
    <t>Excel Web App</t>
  </si>
  <si>
    <t>Microsoft Excel Web App extends your Microsoft Excel experience to the web browser, where you can work with workbooks directly on the website where the workbook is stored.</t>
  </si>
  <si>
    <t xml:space="preserve">Sprays: </t>
  </si>
  <si>
    <t>Herbicides</t>
  </si>
  <si>
    <t>Foliar Nutrient/Insect./Fung./Growth</t>
  </si>
  <si>
    <t>Fertilizer (Ground Application)</t>
  </si>
  <si>
    <t>This Excel worksheet can be downloaded and used on your computer (requires MS Excel) or on-line from your web brower (requires the Excel Web App- see hyperlink below). Once you've entered your information, simply use the File/Save commands to save your changes.</t>
  </si>
  <si>
    <t>Replant Grant Application- Section 4.a.3</t>
  </si>
  <si>
    <t>Trees (1/2")</t>
  </si>
  <si>
    <t>Machine R&amp;M/Fuel</t>
  </si>
  <si>
    <t>McIntosh</t>
  </si>
  <si>
    <t xml:space="preserve"> Click here for Instructions</t>
  </si>
  <si>
    <t>Marketable Yield (800 lb. bins/acre)</t>
  </si>
  <si>
    <t>Crop Income</t>
  </si>
  <si>
    <t>TOTAL CASH OUTFLOW</t>
  </si>
  <si>
    <t>Planting Project Cash Surplus</t>
  </si>
  <si>
    <t>CUMULATIVE BALANCE</t>
  </si>
  <si>
    <t>The hired labour rate applies to all labour hours (outside of labour for land prep/ planting/support and irrigation system). General Labour is set at 22 hr./ac (Year 1) and 24 hr./ac. (Years 2-6). Pruning labour time is noted in min./tree and and Thinning Labour is set at 4 hr./ac. (years 1-2), and 15 hr./ac. in year 3 increasing to 45 hr./ac. by year 6. If you don't use 100% hired labour, you can adjust this percentage to reflect your own situation.</t>
  </si>
  <si>
    <t>Harvesting and Yarding costs in this budget are calculated using an industry average of $0.028/pound on the marketable yields you enter.</t>
  </si>
  <si>
    <t>Irrigation Taxes:</t>
  </si>
  <si>
    <t>Version 2.1 (June 2015)</t>
  </si>
  <si>
    <t>Note: This worksheet only assists in developing the cashflow projection for an individual replant project. It is recommended that a complete farm cashflow budget be prepared to assess the impact of your replant project on the whole farm business, including debt servicing requirements and other financial commitments. A whole farm budget template is available from the Ministry of Agriculture's website.</t>
  </si>
  <si>
    <t xml:space="preserve">Projected Prices ($/lb.):    </t>
  </si>
  <si>
    <t>6 Year Average</t>
  </si>
  <si>
    <t>Enter your information on tree cost, land preparation, soil amendments, support and irrigation system, planting labour/materials (these should include labour) and irrigation taxes.</t>
  </si>
  <si>
    <t>This worksheet was developed to assist growers in preparing a cash flow projection for their replant project as part of the requirement of applying for the Ministry of Agriculture's Tree Fruit Replant Program. The numbers generated are only a guide, and do not include indirect costs, debt servicing and other commitments nor do they guarantee the replant project's outcome or implied success. Land and soil preparation is key, and variations in site, management, disease, weather, production and market returns are risk factors that can affect the ultimate outcome of any planting investment.  It is recommended that you consult your horticulture advisor before committing to any planting project.</t>
  </si>
  <si>
    <t>Replant Project- Cash Costs Summary- Chart Reference Data</t>
  </si>
  <si>
    <t>Year 1-2</t>
  </si>
  <si>
    <t>Support &amp; Irrigation System/Install</t>
  </si>
  <si>
    <t>Trees (benchgraft)</t>
  </si>
  <si>
    <t>Fertilizer &amp; Sprays</t>
  </si>
  <si>
    <t>General Labor/Pruning &amp; Thinning</t>
  </si>
  <si>
    <t>Irrigation/Hives/Misc.</t>
  </si>
  <si>
    <t>Total</t>
  </si>
  <si>
    <t>Year 3-4</t>
  </si>
  <si>
    <t>Year 5-6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</si>
</sst>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0.00_);\(&quot;$&quot;#,##0.00\)"/>
    <numFmt numFmtId="165" formatCode="&quot;$&quot;#,##0_);\(&quot;$&quot;#,##0\)"/>
    <numFmt numFmtId="166" formatCode="#,##0\ &quot;t/ac&quot;"/>
    <numFmt numFmtId="167" formatCode="0.0"/>
    <numFmt numFmtId="168" formatCode="0.00\ &quot;ac.&quot;"/>
    <numFmt numFmtId="169" formatCode="&quot;$&quot;0.00\ &quot;/hr&quot;"/>
    <numFmt numFmtId="170" formatCode="0.0\ &quot;min/tr&quot;"/>
    <numFmt numFmtId="171" formatCode="&quot;$&quot;#,##0.0000_);\(&quot;$&quot;#,##0.0000\)"/>
    <numFmt numFmtId="172" formatCode="&quot;$&quot;#,##0.000_);\(&quot;$&quot;#,##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i/>
      <sz val="11"/>
      <color theme="1"/>
      <name val="Calibri"/>
      <family val="2"/>
      <scheme val="minor"/>
    </font>
    <font>
      <b/>
      <i/>
      <sz val="11"/>
      <name val="Calibri"/>
      <family val="2"/>
      <scheme val="minor"/>
    </font>
    <font>
      <b/>
      <sz val="11"/>
      <color indexed="12"/>
      <name val="Calibri"/>
      <family val="2"/>
      <scheme val="minor"/>
    </font>
    <font>
      <u/>
      <sz val="11"/>
      <color theme="10"/>
      <name val="Calibri"/>
      <family val="2"/>
      <scheme val="minor"/>
    </font>
    <font>
      <i/>
      <sz val="11"/>
      <color indexed="12"/>
      <name val="Calibri"/>
      <family val="2"/>
      <scheme val="minor"/>
    </font>
    <font>
      <sz val="11"/>
      <name val="Calibri"/>
      <family val="2"/>
      <scheme val="minor"/>
    </font>
    <font>
      <i/>
      <sz val="11"/>
      <name val="Calibri"/>
      <family val="2"/>
      <scheme val="minor"/>
    </font>
    <font>
      <b/>
      <i/>
      <sz val="11"/>
      <color indexed="12"/>
      <name val="Calibri"/>
      <family val="2"/>
      <scheme val="minor"/>
    </font>
    <font>
      <sz val="10"/>
      <name val="Calibri"/>
      <family val="2"/>
      <scheme val="minor"/>
    </font>
    <font>
      <b/>
      <i/>
      <u/>
      <sz val="11"/>
      <color theme="10"/>
      <name val="Calibri"/>
      <family val="2"/>
      <scheme val="minor"/>
    </font>
    <font>
      <b/>
      <i/>
      <sz val="11"/>
      <color theme="1"/>
      <name val="Calibri"/>
      <family val="2"/>
      <scheme val="minor"/>
    </font>
    <font>
      <b/>
      <i/>
      <sz val="11"/>
      <color rgb="FF1769CD"/>
      <name val="Calibri"/>
      <family val="2"/>
      <scheme val="minor"/>
    </font>
    <font>
      <i/>
      <sz val="11"/>
      <color rgb="FF1123D3"/>
      <name val="Calibri"/>
      <family val="2"/>
      <scheme val="minor"/>
    </font>
    <font>
      <b/>
      <i/>
      <sz val="10"/>
      <name val="Calibri"/>
      <family val="2"/>
      <scheme val="minor"/>
    </font>
    <font>
      <i/>
      <sz val="9"/>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E5F5FF"/>
        <bgColor indexed="64"/>
      </patternFill>
    </fill>
    <fill>
      <patternFill patternType="solid">
        <fgColor rgb="FFFFF6DD"/>
        <bgColor indexed="64"/>
      </patternFill>
    </fill>
    <fill>
      <patternFill patternType="solid">
        <fgColor rgb="FFFFF8E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32">
    <xf numFmtId="0" fontId="0" fillId="0" borderId="0" xfId="0"/>
    <xf numFmtId="0" fontId="4" fillId="0" borderId="0" xfId="0" applyFont="1" applyProtection="1"/>
    <xf numFmtId="0" fontId="0" fillId="0" borderId="0" xfId="0" applyFont="1" applyProtection="1"/>
    <xf numFmtId="0" fontId="5" fillId="0" borderId="0" xfId="0" applyFont="1" applyAlignment="1" applyProtection="1">
      <alignment horizontal="right"/>
    </xf>
    <xf numFmtId="0" fontId="6" fillId="0" borderId="0" xfId="0" applyFont="1" applyProtection="1"/>
    <xf numFmtId="0" fontId="7" fillId="0" borderId="0" xfId="0" applyFont="1" applyAlignment="1" applyProtection="1">
      <alignment horizontal="right"/>
    </xf>
    <xf numFmtId="0" fontId="7" fillId="0" borderId="0" xfId="0" applyFont="1" applyProtection="1"/>
    <xf numFmtId="0" fontId="4" fillId="0" borderId="0" xfId="0" applyFont="1" applyAlignment="1" applyProtection="1">
      <alignment horizontal="right"/>
    </xf>
    <xf numFmtId="0" fontId="9" fillId="0" borderId="1" xfId="0" applyFont="1" applyBorder="1" applyAlignment="1" applyProtection="1">
      <alignment horizontal="left"/>
      <protection locked="0"/>
    </xf>
    <xf numFmtId="0" fontId="10" fillId="0" borderId="0" xfId="0" applyFont="1" applyProtection="1"/>
    <xf numFmtId="0" fontId="4" fillId="0" borderId="0" xfId="0" applyFont="1" applyBorder="1" applyProtection="1"/>
    <xf numFmtId="0" fontId="0" fillId="0" borderId="0" xfId="0" applyProtection="1"/>
    <xf numFmtId="0" fontId="4" fillId="0" borderId="2" xfId="0" applyFont="1" applyBorder="1" applyProtection="1"/>
    <xf numFmtId="0" fontId="0" fillId="0" borderId="3" xfId="0" applyFont="1" applyBorder="1" applyProtection="1"/>
    <xf numFmtId="0" fontId="4" fillId="0" borderId="0" xfId="0" applyFont="1" applyAlignment="1" applyProtection="1">
      <alignment horizontal="left"/>
    </xf>
    <xf numFmtId="0" fontId="0" fillId="0" borderId="0" xfId="0" applyFont="1" applyBorder="1" applyProtection="1"/>
    <xf numFmtId="0" fontId="11" fillId="0" borderId="0" xfId="0" applyFont="1" applyProtection="1"/>
    <xf numFmtId="0" fontId="11" fillId="0" borderId="0" xfId="0" applyFont="1" applyBorder="1" applyAlignment="1" applyProtection="1">
      <alignment horizontal="center"/>
    </xf>
    <xf numFmtId="164" fontId="0" fillId="0" borderId="0" xfId="0" applyNumberFormat="1" applyFont="1" applyBorder="1" applyProtection="1"/>
    <xf numFmtId="0" fontId="11" fillId="0" borderId="0" xfId="0" applyFont="1" applyBorder="1" applyProtection="1"/>
    <xf numFmtId="0" fontId="11" fillId="0" borderId="8" xfId="0" applyFont="1" applyBorder="1" applyAlignment="1" applyProtection="1">
      <alignment horizontal="center"/>
    </xf>
    <xf numFmtId="0" fontId="11" fillId="0" borderId="9" xfId="0" applyFont="1" applyBorder="1" applyAlignment="1" applyProtection="1">
      <alignment horizontal="center"/>
    </xf>
    <xf numFmtId="0" fontId="4" fillId="2" borderId="5" xfId="0" applyFont="1" applyFill="1" applyBorder="1" applyProtection="1"/>
    <xf numFmtId="0" fontId="11" fillId="2" borderId="6" xfId="0" applyFont="1" applyFill="1" applyBorder="1" applyAlignment="1" applyProtection="1">
      <alignment horizontal="right"/>
    </xf>
    <xf numFmtId="0" fontId="11" fillId="2" borderId="6" xfId="0" applyFont="1" applyFill="1" applyBorder="1" applyAlignment="1" applyProtection="1">
      <alignment horizontal="left"/>
    </xf>
    <xf numFmtId="0" fontId="4" fillId="2" borderId="6" xfId="0" applyFont="1" applyFill="1" applyBorder="1" applyAlignment="1" applyProtection="1">
      <alignment horizontal="right"/>
    </xf>
    <xf numFmtId="0" fontId="4" fillId="2" borderId="6" xfId="0" applyFont="1" applyFill="1" applyBorder="1" applyAlignment="1" applyProtection="1">
      <alignment horizontal="center"/>
    </xf>
    <xf numFmtId="0" fontId="11" fillId="2" borderId="6" xfId="0" applyFont="1" applyFill="1" applyBorder="1" applyProtection="1"/>
    <xf numFmtId="0" fontId="0" fillId="2" borderId="6" xfId="0" applyFont="1" applyFill="1" applyBorder="1" applyProtection="1"/>
    <xf numFmtId="0" fontId="4" fillId="2" borderId="6" xfId="0" applyFont="1" applyFill="1" applyBorder="1" applyProtection="1"/>
    <xf numFmtId="0" fontId="4" fillId="2" borderId="7" xfId="0" applyFont="1" applyFill="1" applyBorder="1" applyProtection="1"/>
    <xf numFmtId="0" fontId="4" fillId="0" borderId="10" xfId="0" applyFont="1" applyBorder="1" applyProtection="1"/>
    <xf numFmtId="0" fontId="4" fillId="0" borderId="1" xfId="0" applyFont="1" applyBorder="1" applyProtection="1"/>
    <xf numFmtId="0" fontId="4" fillId="0" borderId="11" xfId="0" applyFont="1" applyBorder="1" applyProtection="1"/>
    <xf numFmtId="0" fontId="10" fillId="0" borderId="5" xfId="0" applyFont="1" applyBorder="1" applyProtection="1"/>
    <xf numFmtId="0" fontId="4" fillId="0" borderId="6" xfId="0" applyFont="1" applyBorder="1" applyProtection="1"/>
    <xf numFmtId="0" fontId="4" fillId="0" borderId="7" xfId="0" applyFont="1" applyBorder="1" applyProtection="1"/>
    <xf numFmtId="167" fontId="10" fillId="0" borderId="4" xfId="0" applyNumberFormat="1" applyFont="1" applyBorder="1" applyProtection="1"/>
    <xf numFmtId="0" fontId="10" fillId="0" borderId="2" xfId="0" applyFont="1" applyBorder="1" applyProtection="1"/>
    <xf numFmtId="0" fontId="4" fillId="0" borderId="3" xfId="0" applyFont="1" applyBorder="1" applyProtection="1"/>
    <xf numFmtId="168" fontId="4" fillId="0" borderId="12" xfId="0" applyNumberFormat="1" applyFont="1" applyBorder="1" applyAlignment="1" applyProtection="1">
      <alignment horizontal="left"/>
    </xf>
    <xf numFmtId="3" fontId="10" fillId="0" borderId="4" xfId="0" applyNumberFormat="1" applyFont="1" applyBorder="1" applyProtection="1"/>
    <xf numFmtId="0" fontId="4" fillId="0" borderId="12" xfId="0" applyFont="1" applyBorder="1" applyProtection="1"/>
    <xf numFmtId="164" fontId="10" fillId="0" borderId="4" xfId="0" applyNumberFormat="1" applyFont="1" applyBorder="1" applyProtection="1"/>
    <xf numFmtId="165" fontId="4" fillId="0" borderId="4" xfId="0" applyNumberFormat="1" applyFont="1" applyBorder="1" applyProtection="1"/>
    <xf numFmtId="0" fontId="10" fillId="0" borderId="10" xfId="0" applyFont="1" applyBorder="1" applyProtection="1"/>
    <xf numFmtId="165" fontId="10" fillId="0" borderId="4" xfId="0" applyNumberFormat="1" applyFont="1" applyBorder="1" applyProtection="1"/>
    <xf numFmtId="165" fontId="4" fillId="0" borderId="2" xfId="0" applyNumberFormat="1" applyFont="1" applyBorder="1" applyProtection="1"/>
    <xf numFmtId="0" fontId="10" fillId="0" borderId="3" xfId="0" applyFont="1" applyBorder="1" applyProtection="1"/>
    <xf numFmtId="165" fontId="11" fillId="0" borderId="4" xfId="0" applyNumberFormat="1" applyFont="1" applyBorder="1" applyProtection="1"/>
    <xf numFmtId="0" fontId="10" fillId="0" borderId="3" xfId="0" applyFont="1" applyBorder="1" applyAlignment="1" applyProtection="1">
      <alignment horizontal="center"/>
    </xf>
    <xf numFmtId="0" fontId="10" fillId="0" borderId="3" xfId="0" applyFont="1" applyBorder="1"/>
    <xf numFmtId="169" fontId="10" fillId="0" borderId="12" xfId="0" applyNumberFormat="1" applyFont="1" applyBorder="1" applyAlignment="1" applyProtection="1">
      <alignment horizontal="center"/>
    </xf>
    <xf numFmtId="0" fontId="10" fillId="0" borderId="2" xfId="0" applyFont="1" applyBorder="1" applyAlignment="1" applyProtection="1">
      <alignment horizontal="left"/>
    </xf>
    <xf numFmtId="170" fontId="2" fillId="0" borderId="3" xfId="0" applyNumberFormat="1" applyFont="1" applyBorder="1" applyAlignment="1" applyProtection="1">
      <alignment horizontal="center"/>
    </xf>
    <xf numFmtId="0" fontId="10" fillId="0" borderId="3" xfId="0" applyFont="1" applyBorder="1" applyAlignment="1" applyProtection="1">
      <alignment horizontal="right"/>
    </xf>
    <xf numFmtId="9" fontId="10" fillId="0" borderId="3" xfId="1" applyFont="1" applyBorder="1" applyAlignment="1" applyProtection="1">
      <alignment horizontal="center"/>
    </xf>
    <xf numFmtId="0" fontId="4" fillId="0" borderId="0" xfId="0" applyFont="1" applyFill="1" applyBorder="1" applyProtection="1"/>
    <xf numFmtId="165" fontId="4" fillId="0" borderId="0" xfId="0" applyNumberFormat="1" applyFont="1" applyFill="1" applyBorder="1" applyProtection="1"/>
    <xf numFmtId="0" fontId="3" fillId="0" borderId="0" xfId="0" applyFont="1" applyAlignment="1" applyProtection="1">
      <alignment horizontal="center"/>
    </xf>
    <xf numFmtId="0" fontId="8" fillId="0" borderId="0" xfId="2"/>
    <xf numFmtId="0" fontId="15" fillId="0" borderId="0" xfId="0" applyFont="1" applyBorder="1"/>
    <xf numFmtId="0" fontId="0" fillId="0" borderId="0" xfId="0" applyBorder="1"/>
    <xf numFmtId="0" fontId="14" fillId="0" borderId="0" xfId="2" applyFont="1" applyBorder="1"/>
    <xf numFmtId="0" fontId="16" fillId="0" borderId="0" xfId="0" applyFont="1" applyBorder="1"/>
    <xf numFmtId="0" fontId="0" fillId="0" borderId="0" xfId="0" applyBorder="1" applyAlignment="1"/>
    <xf numFmtId="0" fontId="0" fillId="0" borderId="0" xfId="0" applyBorder="1" applyAlignment="1">
      <alignment horizontal="left"/>
    </xf>
    <xf numFmtId="0" fontId="17" fillId="0" borderId="0" xfId="0" applyFont="1" applyAlignment="1">
      <alignment vertical="center"/>
    </xf>
    <xf numFmtId="0" fontId="0" fillId="0" borderId="0" xfId="0" applyFill="1"/>
    <xf numFmtId="0" fontId="0" fillId="0" borderId="0" xfId="0" applyBorder="1" applyAlignment="1">
      <alignment vertical="center"/>
    </xf>
    <xf numFmtId="0" fontId="8" fillId="0" borderId="0" xfId="2" applyBorder="1"/>
    <xf numFmtId="0" fontId="10" fillId="0" borderId="3" xfId="0" applyFont="1" applyBorder="1" applyAlignment="1" applyProtection="1">
      <alignment horizontal="left"/>
    </xf>
    <xf numFmtId="0" fontId="2" fillId="0" borderId="0" xfId="0" applyFont="1" applyBorder="1" applyAlignment="1">
      <alignment vertical="center"/>
    </xf>
    <xf numFmtId="0" fontId="2" fillId="0" borderId="0" xfId="0" applyFont="1" applyBorder="1" applyAlignment="1">
      <alignment horizontal="center" vertical="center"/>
    </xf>
    <xf numFmtId="0" fontId="10" fillId="0" borderId="0" xfId="0" applyFont="1" applyBorder="1" applyAlignment="1">
      <alignment vertical="center"/>
    </xf>
    <xf numFmtId="0" fontId="8" fillId="0" borderId="0" xfId="2" applyBorder="1" applyAlignment="1">
      <alignment horizontal="center" vertical="center"/>
    </xf>
    <xf numFmtId="0" fontId="5" fillId="0" borderId="0" xfId="0" applyFont="1" applyFill="1" applyBorder="1"/>
    <xf numFmtId="0" fontId="0" fillId="0" borderId="0" xfId="0" applyFill="1" applyBorder="1"/>
    <xf numFmtId="171" fontId="10" fillId="0" borderId="4" xfId="0" applyNumberFormat="1" applyFont="1" applyBorder="1" applyProtection="1"/>
    <xf numFmtId="172" fontId="10" fillId="0" borderId="0" xfId="0" applyNumberFormat="1" applyFont="1" applyAlignment="1" applyProtection="1">
      <alignment horizontal="center"/>
    </xf>
    <xf numFmtId="0" fontId="0" fillId="0" borderId="0" xfId="0" applyBorder="1" applyAlignment="1">
      <alignment horizontal="left" wrapText="1"/>
    </xf>
    <xf numFmtId="1" fontId="4" fillId="0" borderId="2" xfId="0" applyNumberFormat="1" applyFont="1" applyBorder="1" applyProtection="1"/>
    <xf numFmtId="1" fontId="4" fillId="0" borderId="3" xfId="0" applyNumberFormat="1" applyFont="1" applyBorder="1" applyProtection="1"/>
    <xf numFmtId="1" fontId="4" fillId="0" borderId="12" xfId="0" applyNumberFormat="1" applyFont="1" applyBorder="1" applyProtection="1"/>
    <xf numFmtId="165" fontId="9" fillId="4" borderId="1" xfId="0" applyNumberFormat="1" applyFont="1" applyFill="1" applyBorder="1" applyAlignment="1" applyProtection="1">
      <alignment horizontal="center"/>
      <protection locked="0"/>
    </xf>
    <xf numFmtId="0" fontId="0" fillId="5" borderId="0" xfId="0" applyFill="1"/>
    <xf numFmtId="0" fontId="4" fillId="5" borderId="0" xfId="0" applyFont="1" applyFill="1" applyAlignment="1" applyProtection="1">
      <alignment horizontal="right"/>
    </xf>
    <xf numFmtId="166" fontId="4" fillId="5" borderId="0" xfId="0" applyNumberFormat="1" applyFont="1" applyFill="1" applyBorder="1" applyAlignment="1" applyProtection="1">
      <alignment horizontal="center"/>
    </xf>
    <xf numFmtId="0" fontId="11" fillId="5" borderId="0" xfId="0" applyFont="1" applyFill="1" applyBorder="1" applyAlignment="1" applyProtection="1">
      <alignment horizontal="center"/>
    </xf>
    <xf numFmtId="2" fontId="4" fillId="5" borderId="0" xfId="0" applyNumberFormat="1" applyFont="1" applyFill="1" applyBorder="1" applyAlignment="1" applyProtection="1">
      <alignment horizontal="center"/>
    </xf>
    <xf numFmtId="0" fontId="4" fillId="5" borderId="0" xfId="0" applyFont="1" applyFill="1" applyAlignment="1" applyProtection="1">
      <alignment horizontal="left"/>
    </xf>
    <xf numFmtId="0" fontId="0" fillId="6" borderId="2" xfId="0" applyFill="1" applyBorder="1"/>
    <xf numFmtId="0" fontId="0" fillId="6" borderId="3" xfId="0" applyFill="1" applyBorder="1"/>
    <xf numFmtId="0" fontId="4" fillId="6" borderId="3" xfId="0" applyFont="1" applyFill="1" applyBorder="1" applyAlignment="1" applyProtection="1">
      <alignment horizontal="right"/>
    </xf>
    <xf numFmtId="0" fontId="4" fillId="6" borderId="3" xfId="0" applyFont="1" applyFill="1" applyBorder="1" applyAlignment="1" applyProtection="1">
      <alignment horizontal="left"/>
    </xf>
    <xf numFmtId="0" fontId="0" fillId="6" borderId="12" xfId="0" applyFont="1" applyFill="1" applyBorder="1" applyProtection="1"/>
    <xf numFmtId="164" fontId="9" fillId="4" borderId="1" xfId="0" applyNumberFormat="1" applyFont="1" applyFill="1" applyBorder="1" applyAlignment="1" applyProtection="1">
      <alignment horizontal="center"/>
      <protection locked="0"/>
    </xf>
    <xf numFmtId="164" fontId="9" fillId="4" borderId="11" xfId="0" applyNumberFormat="1" applyFont="1" applyFill="1" applyBorder="1" applyAlignment="1" applyProtection="1">
      <alignment horizontal="center"/>
      <protection locked="0"/>
    </xf>
    <xf numFmtId="168" fontId="4" fillId="2" borderId="10" xfId="0" applyNumberFormat="1" applyFont="1" applyFill="1" applyBorder="1" applyAlignment="1" applyProtection="1">
      <alignment horizontal="right"/>
    </xf>
    <xf numFmtId="0" fontId="0" fillId="2" borderId="1" xfId="0" applyFont="1" applyFill="1" applyBorder="1" applyProtection="1"/>
    <xf numFmtId="0" fontId="11"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4" fillId="2" borderId="1" xfId="0" applyFont="1" applyFill="1" applyBorder="1" applyAlignment="1" applyProtection="1">
      <alignment horizontal="center"/>
    </xf>
    <xf numFmtId="0" fontId="11" fillId="2" borderId="1" xfId="0" applyFont="1" applyFill="1" applyBorder="1" applyProtection="1"/>
    <xf numFmtId="0" fontId="4" fillId="2" borderId="11" xfId="0" applyFont="1" applyFill="1" applyBorder="1" applyProtection="1"/>
    <xf numFmtId="0" fontId="9" fillId="4" borderId="1" xfId="0" applyFont="1" applyFill="1" applyBorder="1" applyAlignment="1" applyProtection="1">
      <alignment horizontal="left"/>
      <protection locked="0"/>
    </xf>
    <xf numFmtId="0" fontId="9" fillId="4" borderId="1" xfId="0" applyFont="1" applyFill="1" applyBorder="1" applyAlignment="1" applyProtection="1">
      <alignment horizontal="center"/>
      <protection locked="0"/>
    </xf>
    <xf numFmtId="3" fontId="9" fillId="4" borderId="1" xfId="0" applyNumberFormat="1" applyFont="1" applyFill="1" applyBorder="1" applyAlignment="1" applyProtection="1">
      <alignment horizontal="center"/>
      <protection locked="0"/>
    </xf>
    <xf numFmtId="9" fontId="9" fillId="4" borderId="3" xfId="1" applyFont="1" applyFill="1" applyBorder="1" applyAlignment="1" applyProtection="1">
      <alignment horizontal="center"/>
      <protection locked="0"/>
    </xf>
    <xf numFmtId="167" fontId="12" fillId="4" borderId="10" xfId="0" applyNumberFormat="1" applyFont="1" applyFill="1" applyBorder="1" applyAlignment="1" applyProtection="1">
      <alignment horizontal="center"/>
      <protection locked="0"/>
    </xf>
    <xf numFmtId="167" fontId="12" fillId="4" borderId="1" xfId="0" applyNumberFormat="1" applyFont="1" applyFill="1" applyBorder="1" applyAlignment="1" applyProtection="1">
      <alignment horizontal="center"/>
      <protection locked="0"/>
    </xf>
    <xf numFmtId="167" fontId="12" fillId="4" borderId="11" xfId="0" applyNumberFormat="1" applyFont="1" applyFill="1" applyBorder="1" applyAlignment="1" applyProtection="1">
      <alignment horizontal="center"/>
      <protection locked="0"/>
    </xf>
    <xf numFmtId="0" fontId="3" fillId="0" borderId="0" xfId="0" applyFont="1" applyAlignment="1">
      <alignment horizontal="center"/>
    </xf>
    <xf numFmtId="0" fontId="10" fillId="0" borderId="0" xfId="0" applyFont="1" applyFill="1" applyBorder="1" applyProtection="1"/>
    <xf numFmtId="165" fontId="0" fillId="0" borderId="0" xfId="0" applyNumberFormat="1" applyFill="1"/>
    <xf numFmtId="165" fontId="0" fillId="0" borderId="0" xfId="0" applyNumberFormat="1"/>
    <xf numFmtId="9" fontId="0" fillId="0" borderId="0" xfId="1" applyNumberFormat="1" applyFont="1"/>
    <xf numFmtId="0" fontId="10" fillId="0" borderId="0" xfId="0" applyFont="1" applyBorder="1" applyProtection="1"/>
    <xf numFmtId="9" fontId="0" fillId="0" borderId="0" xfId="0" applyNumberFormat="1"/>
    <xf numFmtId="0" fontId="19" fillId="0" borderId="0" xfId="0" applyFont="1" applyAlignment="1">
      <alignment horizontal="center"/>
    </xf>
    <xf numFmtId="0" fontId="18" fillId="3" borderId="0" xfId="0" applyFont="1" applyFill="1" applyAlignment="1" applyProtection="1">
      <alignment horizontal="left" vertical="top" wrapText="1"/>
    </xf>
    <xf numFmtId="0" fontId="4" fillId="7" borderId="8" xfId="0" applyFont="1" applyFill="1" applyBorder="1" applyAlignment="1" applyProtection="1">
      <alignment horizontal="center"/>
    </xf>
    <xf numFmtId="0" fontId="4" fillId="7" borderId="9" xfId="0" applyFont="1" applyFill="1" applyBorder="1" applyAlignment="1" applyProtection="1">
      <alignment horizontal="center"/>
    </xf>
    <xf numFmtId="164" fontId="4" fillId="0" borderId="10" xfId="0" applyNumberFormat="1" applyFont="1" applyBorder="1" applyAlignment="1" applyProtection="1">
      <alignment horizontal="center"/>
    </xf>
    <xf numFmtId="164" fontId="4" fillId="0" borderId="11" xfId="0" applyNumberFormat="1" applyFont="1" applyBorder="1" applyAlignment="1" applyProtection="1">
      <alignment horizontal="center"/>
    </xf>
    <xf numFmtId="0" fontId="4" fillId="6" borderId="10" xfId="0" applyFont="1" applyFill="1" applyBorder="1" applyAlignment="1" applyProtection="1">
      <alignment horizontal="center"/>
    </xf>
    <xf numFmtId="0" fontId="4" fillId="6" borderId="1" xfId="0" applyFont="1" applyFill="1" applyBorder="1" applyAlignment="1" applyProtection="1">
      <alignment horizontal="center"/>
    </xf>
    <xf numFmtId="0" fontId="4" fillId="6" borderId="11" xfId="0" applyFont="1" applyFill="1" applyBorder="1" applyAlignment="1" applyProtection="1">
      <alignment horizontal="center"/>
    </xf>
    <xf numFmtId="0" fontId="0" fillId="0" borderId="0" xfId="0" applyBorder="1" applyAlignment="1">
      <alignment horizontal="left" wrapText="1"/>
    </xf>
    <xf numFmtId="0" fontId="10" fillId="0" borderId="0" xfId="0" applyFont="1" applyBorder="1" applyAlignment="1">
      <alignment horizontal="left" vertical="center" wrapText="1"/>
    </xf>
    <xf numFmtId="0" fontId="11" fillId="3" borderId="0" xfId="0" applyFont="1" applyFill="1" applyAlignment="1">
      <alignment horizontal="left" vertical="center" wrapText="1"/>
    </xf>
    <xf numFmtId="0" fontId="0" fillId="0" borderId="0" xfId="0"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CCECFF"/>
      <color rgb="FFCCFFCC"/>
      <color rgb="FF227BE6"/>
      <color rgb="FF3224E4"/>
      <color rgb="FFF2F2F2"/>
      <color rgb="FFFFFFCC"/>
      <color rgb="FF1123D3"/>
      <color rgb="FF1769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CA"/>
              <a:t>Replant</a:t>
            </a:r>
            <a:r>
              <a:rPr lang="en-CA" baseline="0"/>
              <a:t> Project- % Cost Breakdown</a:t>
            </a:r>
          </a:p>
          <a:p>
            <a:pPr>
              <a:defRPr/>
            </a:pPr>
            <a:r>
              <a:rPr lang="en-CA" baseline="0"/>
              <a:t>Years 1 - 2</a:t>
            </a:r>
            <a:endParaRPr lang="en-CA"/>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3"/>
          <c:order val="3"/>
          <c:spPr>
            <a:gradFill rotWithShape="1">
              <a:gsLst>
                <a:gs pos="0">
                  <a:schemeClr val="accent4">
                    <a:tint val="58000"/>
                    <a:satMod val="103000"/>
                    <a:lumMod val="102000"/>
                    <a:tint val="94000"/>
                  </a:schemeClr>
                </a:gs>
                <a:gs pos="50000">
                  <a:schemeClr val="accent4">
                    <a:tint val="58000"/>
                    <a:satMod val="110000"/>
                    <a:lumMod val="100000"/>
                    <a:shade val="100000"/>
                  </a:schemeClr>
                </a:gs>
                <a:gs pos="100000">
                  <a:schemeClr val="accent4">
                    <a:tint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'Apple Replant Budget'!$E$69:$E$77</c:f>
              <c:strCache>
                <c:ptCount val="9"/>
                <c:pt idx="0">
                  <c:v>Tr.Removal/Land Prep/Planting Labour</c:v>
                </c:pt>
                <c:pt idx="1">
                  <c:v>Soil Tests/ Amendments</c:v>
                </c:pt>
                <c:pt idx="2">
                  <c:v>Support &amp; Irrigation System/Install</c:v>
                </c:pt>
                <c:pt idx="3">
                  <c:v>Trees (benchgraft)</c:v>
                </c:pt>
                <c:pt idx="4">
                  <c:v>Fertilizer &amp; Sprays</c:v>
                </c:pt>
                <c:pt idx="5">
                  <c:v>General Labor/Pruning &amp; Thinning</c:v>
                </c:pt>
                <c:pt idx="6">
                  <c:v>Machine R&amp;M/Fuel</c:v>
                </c:pt>
                <c:pt idx="7">
                  <c:v>Harvesting/Yarding</c:v>
                </c:pt>
                <c:pt idx="8">
                  <c:v>Irrigation/Hives/Misc.</c:v>
                </c:pt>
              </c:strCache>
            </c:strRef>
          </c:cat>
          <c:val>
            <c:numRef>
              <c:f>'Apple Replant Budget'!$I$69:$I$77</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15"/>
        <c:overlap val="-20"/>
        <c:axId val="384470832"/>
        <c:axId val="384470048"/>
        <c:extLst>
          <c:ext xmlns:c15="http://schemas.microsoft.com/office/drawing/2012/chart" uri="{02D57815-91ED-43cb-92C2-25804820EDAC}">
            <c15:filteredBarSeries>
              <c15:ser>
                <c:idx val="0"/>
                <c:order val="0"/>
                <c:spPr>
                  <a:gradFill rotWithShape="1">
                    <a:gsLst>
                      <a:gs pos="0">
                        <a:schemeClr val="accent4">
                          <a:shade val="58000"/>
                          <a:satMod val="103000"/>
                          <a:lumMod val="102000"/>
                          <a:tint val="94000"/>
                        </a:schemeClr>
                      </a:gs>
                      <a:gs pos="50000">
                        <a:schemeClr val="accent4">
                          <a:shade val="58000"/>
                          <a:satMod val="110000"/>
                          <a:lumMod val="100000"/>
                          <a:shade val="100000"/>
                        </a:schemeClr>
                      </a:gs>
                      <a:gs pos="100000">
                        <a:schemeClr val="accent4">
                          <a:shade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'Apple Replant Budget'!$E$69:$E$77</c15:sqref>
                        </c15:formulaRef>
                      </c:ext>
                    </c:extLst>
                    <c:strCache>
                      <c:ptCount val="9"/>
                      <c:pt idx="0">
                        <c:v>Tr.Removal/Land Prep/Planting Labour</c:v>
                      </c:pt>
                      <c:pt idx="1">
                        <c:v>Soil Tests/ Amendments</c:v>
                      </c:pt>
                      <c:pt idx="2">
                        <c:v>Support &amp; Irrigation System/Install</c:v>
                      </c:pt>
                      <c:pt idx="3">
                        <c:v>Trees (benchgraft)</c:v>
                      </c:pt>
                      <c:pt idx="4">
                        <c:v>Fertilizer &amp; Sprays</c:v>
                      </c:pt>
                      <c:pt idx="5">
                        <c:v>General Labor/Pruning &amp; Thinning</c:v>
                      </c:pt>
                      <c:pt idx="6">
                        <c:v>Machine R&amp;M/Fuel</c:v>
                      </c:pt>
                      <c:pt idx="7">
                        <c:v>Harvesting/Yarding</c:v>
                      </c:pt>
                      <c:pt idx="8">
                        <c:v>Irrigation/Hives/Misc.</c:v>
                      </c:pt>
                    </c:strCache>
                  </c:strRef>
                </c:cat>
                <c:val>
                  <c:numRef>
                    <c:extLst>
                      <c:ext uri="{02D57815-91ED-43cb-92C2-25804820EDAC}">
                        <c15:formulaRef>
                          <c15:sqref>'Apple Replant Budget'!$F$69:$F$77</c15:sqref>
                        </c15:formulaRef>
                      </c:ext>
                    </c:extLst>
                    <c:numCache>
                      <c:formatCode>"$"#,##0_);\("$"#,##0\)</c:formatCode>
                      <c:ptCount val="9"/>
                    </c:numCache>
                  </c:numRef>
                </c:val>
              </c15:ser>
            </c15:filteredBarSeries>
            <c15:filteredBarSeries>
              <c15:ser>
                <c:idx val="1"/>
                <c:order val="1"/>
                <c:spPr>
                  <a:gradFill rotWithShape="1">
                    <a:gsLst>
                      <a:gs pos="0">
                        <a:schemeClr val="accent4">
                          <a:shade val="86000"/>
                          <a:satMod val="103000"/>
                          <a:lumMod val="102000"/>
                          <a:tint val="94000"/>
                        </a:schemeClr>
                      </a:gs>
                      <a:gs pos="50000">
                        <a:schemeClr val="accent4">
                          <a:shade val="86000"/>
                          <a:satMod val="110000"/>
                          <a:lumMod val="100000"/>
                          <a:shade val="100000"/>
                        </a:schemeClr>
                      </a:gs>
                      <a:gs pos="100000">
                        <a:schemeClr val="accent4">
                          <a:shade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Budget'!$E$69:$E$77</c15:sqref>
                        </c15:formulaRef>
                      </c:ext>
                    </c:extLst>
                    <c:strCache>
                      <c:ptCount val="9"/>
                      <c:pt idx="0">
                        <c:v>Tr.Removal/Land Prep/Planting Labour</c:v>
                      </c:pt>
                      <c:pt idx="1">
                        <c:v>Soil Tests/ Amendments</c:v>
                      </c:pt>
                      <c:pt idx="2">
                        <c:v>Support &amp; Irrigation System/Install</c:v>
                      </c:pt>
                      <c:pt idx="3">
                        <c:v>Trees (benchgraft)</c:v>
                      </c:pt>
                      <c:pt idx="4">
                        <c:v>Fertilizer &amp; Sprays</c:v>
                      </c:pt>
                      <c:pt idx="5">
                        <c:v>General Labor/Pruning &amp; Thinning</c:v>
                      </c:pt>
                      <c:pt idx="6">
                        <c:v>Machine R&amp;M/Fuel</c:v>
                      </c:pt>
                      <c:pt idx="7">
                        <c:v>Harvesting/Yarding</c:v>
                      </c:pt>
                      <c:pt idx="8">
                        <c:v>Irrigation/Hives/Misc.</c:v>
                      </c:pt>
                    </c:strCache>
                  </c:strRef>
                </c:cat>
                <c:val>
                  <c:numRef>
                    <c:extLst xmlns:c15="http://schemas.microsoft.com/office/drawing/2012/chart">
                      <c:ext xmlns:c15="http://schemas.microsoft.com/office/drawing/2012/chart" uri="{02D57815-91ED-43cb-92C2-25804820EDAC}">
                        <c15:formulaRef>
                          <c15:sqref>'Apple Replant Budget'!$G$69:$G$77</c15:sqref>
                        </c15:formulaRef>
                      </c:ext>
                    </c:extLst>
                    <c:numCache>
                      <c:formatCode>General</c:formatCode>
                      <c:ptCount val="9"/>
                    </c:numCache>
                  </c:numRef>
                </c:val>
              </c15:ser>
            </c15:filteredBarSeries>
            <c15:filteredBarSeries>
              <c15:ser>
                <c:idx val="2"/>
                <c:order val="2"/>
                <c:spPr>
                  <a:gradFill rotWithShape="1">
                    <a:gsLst>
                      <a:gs pos="0">
                        <a:schemeClr val="accent4">
                          <a:tint val="86000"/>
                          <a:satMod val="103000"/>
                          <a:lumMod val="102000"/>
                          <a:tint val="94000"/>
                        </a:schemeClr>
                      </a:gs>
                      <a:gs pos="50000">
                        <a:schemeClr val="accent4">
                          <a:tint val="86000"/>
                          <a:satMod val="110000"/>
                          <a:lumMod val="100000"/>
                          <a:shade val="100000"/>
                        </a:schemeClr>
                      </a:gs>
                      <a:gs pos="100000">
                        <a:schemeClr val="accent4">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Budget'!$E$69:$E$77</c15:sqref>
                        </c15:formulaRef>
                      </c:ext>
                    </c:extLst>
                    <c:strCache>
                      <c:ptCount val="9"/>
                      <c:pt idx="0">
                        <c:v>Tr.Removal/Land Prep/Planting Labour</c:v>
                      </c:pt>
                      <c:pt idx="1">
                        <c:v>Soil Tests/ Amendments</c:v>
                      </c:pt>
                      <c:pt idx="2">
                        <c:v>Support &amp; Irrigation System/Install</c:v>
                      </c:pt>
                      <c:pt idx="3">
                        <c:v>Trees (benchgraft)</c:v>
                      </c:pt>
                      <c:pt idx="4">
                        <c:v>Fertilizer &amp; Sprays</c:v>
                      </c:pt>
                      <c:pt idx="5">
                        <c:v>General Labor/Pruning &amp; Thinning</c:v>
                      </c:pt>
                      <c:pt idx="6">
                        <c:v>Machine R&amp;M/Fuel</c:v>
                      </c:pt>
                      <c:pt idx="7">
                        <c:v>Harvesting/Yarding</c:v>
                      </c:pt>
                      <c:pt idx="8">
                        <c:v>Irrigation/Hives/Misc.</c:v>
                      </c:pt>
                    </c:strCache>
                  </c:strRef>
                </c:cat>
                <c:val>
                  <c:numRef>
                    <c:extLst xmlns:c15="http://schemas.microsoft.com/office/drawing/2012/chart">
                      <c:ext xmlns:c15="http://schemas.microsoft.com/office/drawing/2012/chart" uri="{02D57815-91ED-43cb-92C2-25804820EDAC}">
                        <c15:formulaRef>
                          <c15:sqref>'Apple Replant Budget'!$H$69:$H$77</c15:sqref>
                        </c15:formulaRef>
                      </c:ext>
                    </c:extLst>
                    <c:numCache>
                      <c:formatCode>General</c:formatCode>
                      <c:ptCount val="9"/>
                    </c:numCache>
                  </c:numRef>
                </c:val>
              </c15:ser>
            </c15:filteredBarSeries>
          </c:ext>
        </c:extLst>
      </c:barChart>
      <c:catAx>
        <c:axId val="384470832"/>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470048"/>
        <c:crosses val="autoZero"/>
        <c:auto val="1"/>
        <c:lblAlgn val="ctr"/>
        <c:lblOffset val="100"/>
        <c:noMultiLvlLbl val="0"/>
      </c:catAx>
      <c:valAx>
        <c:axId val="384470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47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CA"/>
              <a:t>Replant</a:t>
            </a:r>
            <a:r>
              <a:rPr lang="en-CA" baseline="0"/>
              <a:t> Project- % Cost Breakdown</a:t>
            </a:r>
          </a:p>
          <a:p>
            <a:pPr>
              <a:defRPr/>
            </a:pPr>
            <a:r>
              <a:rPr lang="en-CA" baseline="0"/>
              <a:t>Years 3 - 4</a:t>
            </a:r>
            <a:endParaRPr lang="en-CA"/>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3"/>
          <c:order val="3"/>
          <c:spPr>
            <a:gradFill rotWithShape="1">
              <a:gsLst>
                <a:gs pos="0">
                  <a:schemeClr val="accent4">
                    <a:tint val="58000"/>
                    <a:satMod val="103000"/>
                    <a:lumMod val="102000"/>
                    <a:tint val="94000"/>
                  </a:schemeClr>
                </a:gs>
                <a:gs pos="50000">
                  <a:schemeClr val="accent4">
                    <a:tint val="58000"/>
                    <a:satMod val="110000"/>
                    <a:lumMod val="100000"/>
                    <a:shade val="100000"/>
                  </a:schemeClr>
                </a:gs>
                <a:gs pos="100000">
                  <a:schemeClr val="accent4">
                    <a:tint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'Apple Replant Budget'!$E$81:$E$85</c:f>
              <c:strCache>
                <c:ptCount val="5"/>
                <c:pt idx="0">
                  <c:v>Fertilizer &amp; Sprays</c:v>
                </c:pt>
                <c:pt idx="1">
                  <c:v>General Labor/Pruning &amp; Thinning</c:v>
                </c:pt>
                <c:pt idx="2">
                  <c:v>Machine R&amp;M/Fuel</c:v>
                </c:pt>
                <c:pt idx="3">
                  <c:v>Harvesting/Yarding</c:v>
                </c:pt>
                <c:pt idx="4">
                  <c:v>Irrigation/Hives/Misc.</c:v>
                </c:pt>
              </c:strCache>
            </c:strRef>
          </c:cat>
          <c:val>
            <c:numRef>
              <c:f>'Apple Replant Budget'!$I$81:$I$85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15"/>
        <c:overlap val="-20"/>
        <c:axId val="384476712"/>
        <c:axId val="384471616"/>
        <c:extLst>
          <c:ext xmlns:c15="http://schemas.microsoft.com/office/drawing/2012/chart" uri="{02D57815-91ED-43cb-92C2-25804820EDAC}">
            <c15:filteredBarSeries>
              <c15:ser>
                <c:idx val="0"/>
                <c:order val="0"/>
                <c:spPr>
                  <a:gradFill rotWithShape="1">
                    <a:gsLst>
                      <a:gs pos="0">
                        <a:schemeClr val="accent4">
                          <a:shade val="58000"/>
                          <a:satMod val="103000"/>
                          <a:lumMod val="102000"/>
                          <a:tint val="94000"/>
                        </a:schemeClr>
                      </a:gs>
                      <a:gs pos="50000">
                        <a:schemeClr val="accent4">
                          <a:shade val="58000"/>
                          <a:satMod val="110000"/>
                          <a:lumMod val="100000"/>
                          <a:shade val="100000"/>
                        </a:schemeClr>
                      </a:gs>
                      <a:gs pos="100000">
                        <a:schemeClr val="accent4">
                          <a:shade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'Apple Replant Budget'!$E$81:$E$85</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c:ext uri="{02D57815-91ED-43cb-92C2-25804820EDAC}">
                        <c15:formulaRef>
                          <c15:sqref>'Apple Replant Budget'!$F$81:$F$85</c15:sqref>
                        </c15:formulaRef>
                      </c:ext>
                    </c:extLst>
                    <c:numCache>
                      <c:formatCode>"$"#,##0_);\("$"#,##0\)</c:formatCode>
                      <c:ptCount val="5"/>
                    </c:numCache>
                  </c:numRef>
                </c:val>
              </c15:ser>
            </c15:filteredBarSeries>
            <c15:filteredBarSeries>
              <c15:ser>
                <c:idx val="1"/>
                <c:order val="1"/>
                <c:spPr>
                  <a:gradFill rotWithShape="1">
                    <a:gsLst>
                      <a:gs pos="0">
                        <a:schemeClr val="accent4">
                          <a:shade val="86000"/>
                          <a:satMod val="103000"/>
                          <a:lumMod val="102000"/>
                          <a:tint val="94000"/>
                        </a:schemeClr>
                      </a:gs>
                      <a:gs pos="50000">
                        <a:schemeClr val="accent4">
                          <a:shade val="86000"/>
                          <a:satMod val="110000"/>
                          <a:lumMod val="100000"/>
                          <a:shade val="100000"/>
                        </a:schemeClr>
                      </a:gs>
                      <a:gs pos="100000">
                        <a:schemeClr val="accent4">
                          <a:shade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Budget'!$E$81:$E$85</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'Apple Replant Budget'!$G$81:$G$85</c15:sqref>
                        </c15:formulaRef>
                      </c:ext>
                    </c:extLst>
                    <c:numCache>
                      <c:formatCode>General</c:formatCode>
                      <c:ptCount val="5"/>
                    </c:numCache>
                  </c:numRef>
                </c:val>
              </c15:ser>
            </c15:filteredBarSeries>
            <c15:filteredBarSeries>
              <c15:ser>
                <c:idx val="2"/>
                <c:order val="2"/>
                <c:spPr>
                  <a:gradFill rotWithShape="1">
                    <a:gsLst>
                      <a:gs pos="0">
                        <a:schemeClr val="accent4">
                          <a:tint val="86000"/>
                          <a:satMod val="103000"/>
                          <a:lumMod val="102000"/>
                          <a:tint val="94000"/>
                        </a:schemeClr>
                      </a:gs>
                      <a:gs pos="50000">
                        <a:schemeClr val="accent4">
                          <a:tint val="86000"/>
                          <a:satMod val="110000"/>
                          <a:lumMod val="100000"/>
                          <a:shade val="100000"/>
                        </a:schemeClr>
                      </a:gs>
                      <a:gs pos="100000">
                        <a:schemeClr val="accent4">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Budget'!$E$81:$E$85</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'Apple Replant Budget'!$H$81:$H$85</c15:sqref>
                        </c15:formulaRef>
                      </c:ext>
                    </c:extLst>
                    <c:numCache>
                      <c:formatCode>General</c:formatCode>
                      <c:ptCount val="5"/>
                    </c:numCache>
                  </c:numRef>
                </c:val>
              </c15:ser>
            </c15:filteredBarSeries>
          </c:ext>
        </c:extLst>
      </c:barChart>
      <c:catAx>
        <c:axId val="384476712"/>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471616"/>
        <c:crosses val="autoZero"/>
        <c:auto val="1"/>
        <c:lblAlgn val="ctr"/>
        <c:lblOffset val="100"/>
        <c:noMultiLvlLbl val="0"/>
      </c:catAx>
      <c:valAx>
        <c:axId val="3844716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476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CA"/>
              <a:t>Replant</a:t>
            </a:r>
            <a:r>
              <a:rPr lang="en-CA" baseline="0"/>
              <a:t> Project- % Cost Breakdown</a:t>
            </a:r>
          </a:p>
          <a:p>
            <a:pPr>
              <a:defRPr/>
            </a:pPr>
            <a:r>
              <a:rPr lang="en-CA" baseline="0"/>
              <a:t>Years 5 - 6</a:t>
            </a:r>
            <a:endParaRPr lang="en-CA"/>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3"/>
          <c:order val="3"/>
          <c:spPr>
            <a:gradFill rotWithShape="1">
              <a:gsLst>
                <a:gs pos="0">
                  <a:schemeClr val="accent4">
                    <a:tint val="58000"/>
                    <a:satMod val="103000"/>
                    <a:lumMod val="102000"/>
                    <a:tint val="94000"/>
                  </a:schemeClr>
                </a:gs>
                <a:gs pos="50000">
                  <a:schemeClr val="accent4">
                    <a:tint val="58000"/>
                    <a:satMod val="110000"/>
                    <a:lumMod val="100000"/>
                    <a:shade val="100000"/>
                  </a:schemeClr>
                </a:gs>
                <a:gs pos="100000">
                  <a:schemeClr val="accent4">
                    <a:tint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'Apple Replant Budget'!$E$88:$E$92</c:f>
              <c:strCache>
                <c:ptCount val="5"/>
                <c:pt idx="0">
                  <c:v>Fertilizer &amp; Sprays</c:v>
                </c:pt>
                <c:pt idx="1">
                  <c:v>General Labor/Pruning &amp; Thinning</c:v>
                </c:pt>
                <c:pt idx="2">
                  <c:v>Machine R&amp;M/Fuel</c:v>
                </c:pt>
                <c:pt idx="3">
                  <c:v>Harvesting/Yarding</c:v>
                </c:pt>
                <c:pt idx="4">
                  <c:v>Irrigation/Hives/Misc.</c:v>
                </c:pt>
              </c:strCache>
            </c:strRef>
          </c:cat>
          <c:val>
            <c:numRef>
              <c:f>'Apple Replant Budget'!$I$88:$I$92</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15"/>
        <c:overlap val="-20"/>
        <c:axId val="384476320"/>
        <c:axId val="384477104"/>
        <c:extLst>
          <c:ext xmlns:c15="http://schemas.microsoft.com/office/drawing/2012/chart" uri="{02D57815-91ED-43cb-92C2-25804820EDAC}">
            <c15:filteredBarSeries>
              <c15:ser>
                <c:idx val="0"/>
                <c:order val="0"/>
                <c:spPr>
                  <a:gradFill rotWithShape="1">
                    <a:gsLst>
                      <a:gs pos="0">
                        <a:schemeClr val="accent4">
                          <a:shade val="58000"/>
                          <a:satMod val="103000"/>
                          <a:lumMod val="102000"/>
                          <a:tint val="94000"/>
                        </a:schemeClr>
                      </a:gs>
                      <a:gs pos="50000">
                        <a:schemeClr val="accent4">
                          <a:shade val="58000"/>
                          <a:satMod val="110000"/>
                          <a:lumMod val="100000"/>
                          <a:shade val="100000"/>
                        </a:schemeClr>
                      </a:gs>
                      <a:gs pos="100000">
                        <a:schemeClr val="accent4">
                          <a:shade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'Apple Replant Budget'!$E$88:$E$92</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c:ext uri="{02D57815-91ED-43cb-92C2-25804820EDAC}">
                        <c15:formulaRef>
                          <c15:sqref>'Apple Replant Budget'!$F$88:$F$92</c15:sqref>
                        </c15:formulaRef>
                      </c:ext>
                    </c:extLst>
                    <c:numCache>
                      <c:formatCode>General</c:formatCode>
                      <c:ptCount val="5"/>
                    </c:numCache>
                  </c:numRef>
                </c:val>
              </c15:ser>
            </c15:filteredBarSeries>
            <c15:filteredBarSeries>
              <c15:ser>
                <c:idx val="1"/>
                <c:order val="1"/>
                <c:spPr>
                  <a:gradFill rotWithShape="1">
                    <a:gsLst>
                      <a:gs pos="0">
                        <a:schemeClr val="accent4">
                          <a:shade val="86000"/>
                          <a:satMod val="103000"/>
                          <a:lumMod val="102000"/>
                          <a:tint val="94000"/>
                        </a:schemeClr>
                      </a:gs>
                      <a:gs pos="50000">
                        <a:schemeClr val="accent4">
                          <a:shade val="86000"/>
                          <a:satMod val="110000"/>
                          <a:lumMod val="100000"/>
                          <a:shade val="100000"/>
                        </a:schemeClr>
                      </a:gs>
                      <a:gs pos="100000">
                        <a:schemeClr val="accent4">
                          <a:shade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Budget'!$E$88:$E$92</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'Apple Replant Budget'!$G$88:$G$92</c15:sqref>
                        </c15:formulaRef>
                      </c:ext>
                    </c:extLst>
                    <c:numCache>
                      <c:formatCode>General</c:formatCode>
                      <c:ptCount val="5"/>
                    </c:numCache>
                  </c:numRef>
                </c:val>
              </c15:ser>
            </c15:filteredBarSeries>
            <c15:filteredBarSeries>
              <c15:ser>
                <c:idx val="2"/>
                <c:order val="2"/>
                <c:spPr>
                  <a:gradFill rotWithShape="1">
                    <a:gsLst>
                      <a:gs pos="0">
                        <a:schemeClr val="accent4">
                          <a:tint val="86000"/>
                          <a:satMod val="103000"/>
                          <a:lumMod val="102000"/>
                          <a:tint val="94000"/>
                        </a:schemeClr>
                      </a:gs>
                      <a:gs pos="50000">
                        <a:schemeClr val="accent4">
                          <a:tint val="86000"/>
                          <a:satMod val="110000"/>
                          <a:lumMod val="100000"/>
                          <a:shade val="100000"/>
                        </a:schemeClr>
                      </a:gs>
                      <a:gs pos="100000">
                        <a:schemeClr val="accent4">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Budget'!$E$88:$E$92</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'Apple Replant Budget'!$H$88:$H$92</c15:sqref>
                        </c15:formulaRef>
                      </c:ext>
                    </c:extLst>
                    <c:numCache>
                      <c:formatCode>General</c:formatCode>
                      <c:ptCount val="5"/>
                    </c:numCache>
                  </c:numRef>
                </c:val>
              </c15:ser>
            </c15:filteredBarSeries>
          </c:ext>
        </c:extLst>
      </c:barChart>
      <c:catAx>
        <c:axId val="38447632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477104"/>
        <c:crosses val="autoZero"/>
        <c:auto val="1"/>
        <c:lblAlgn val="ctr"/>
        <c:lblOffset val="100"/>
        <c:noMultiLvlLbl val="0"/>
      </c:catAx>
      <c:valAx>
        <c:axId val="3844771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476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10</xdr:row>
      <xdr:rowOff>185737</xdr:rowOff>
    </xdr:from>
    <xdr:to>
      <xdr:col>18</xdr:col>
      <xdr:colOff>552450</xdr:colOff>
      <xdr:row>25</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25</xdr:row>
      <xdr:rowOff>166687</xdr:rowOff>
    </xdr:from>
    <xdr:to>
      <xdr:col>18</xdr:col>
      <xdr:colOff>552450</xdr:colOff>
      <xdr:row>40</xdr:row>
      <xdr:rowOff>52387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552449</xdr:colOff>
      <xdr:row>40</xdr:row>
      <xdr:rowOff>157162</xdr:rowOff>
    </xdr:from>
    <xdr:to>
      <xdr:col>18</xdr:col>
      <xdr:colOff>561974</xdr:colOff>
      <xdr:row>56</xdr:row>
      <xdr:rowOff>147637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upport.office.com/en-US/Article/Introduction-to-Excel-Web-App-d2838b0e-ee37-467f-a4c7-38d2bd81bfd1?ui=en-US&amp;rs=en-US&amp;ad=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3"/>
  <sheetViews>
    <sheetView tabSelected="1" zoomScaleNormal="100" workbookViewId="0">
      <selection activeCell="C4" sqref="C4"/>
    </sheetView>
  </sheetViews>
  <sheetFormatPr defaultRowHeight="15" x14ac:dyDescent="0.25"/>
  <cols>
    <col min="1" max="1" width="11.28515625" customWidth="1"/>
    <col min="2" max="2" width="10.7109375" customWidth="1"/>
    <col min="3" max="3" width="13.42578125" customWidth="1"/>
    <col min="4" max="5" width="10.7109375" customWidth="1"/>
    <col min="6" max="9" width="10.28515625" customWidth="1"/>
    <col min="10" max="10" width="8.28515625" customWidth="1"/>
    <col min="12" max="12" width="9.42578125" bestFit="1" customWidth="1"/>
  </cols>
  <sheetData>
    <row r="1" spans="1:19" x14ac:dyDescent="0.25">
      <c r="A1" s="1" t="s">
        <v>71</v>
      </c>
      <c r="B1" s="1"/>
      <c r="C1" s="1"/>
      <c r="D1" s="1"/>
      <c r="E1" s="1"/>
      <c r="F1" s="1"/>
      <c r="G1" s="2"/>
      <c r="I1" s="3" t="s">
        <v>102</v>
      </c>
      <c r="J1" s="4"/>
      <c r="K1" s="4" t="s">
        <v>3</v>
      </c>
      <c r="L1" s="2"/>
      <c r="M1" s="1">
        <v>2009</v>
      </c>
      <c r="N1" s="1">
        <v>2010</v>
      </c>
      <c r="O1" s="1">
        <v>2011</v>
      </c>
      <c r="P1" s="1">
        <v>2012</v>
      </c>
      <c r="Q1" s="1">
        <v>2013</v>
      </c>
      <c r="R1" s="1">
        <v>2014</v>
      </c>
      <c r="S1" s="59" t="s">
        <v>52</v>
      </c>
    </row>
    <row r="2" spans="1:19" x14ac:dyDescent="0.25">
      <c r="A2" s="1" t="s">
        <v>89</v>
      </c>
      <c r="B2" s="1"/>
      <c r="C2" s="1"/>
      <c r="D2" s="1"/>
      <c r="E2" s="1"/>
      <c r="F2" s="2"/>
      <c r="G2" s="2"/>
      <c r="H2" s="2"/>
      <c r="I2" s="5" t="s">
        <v>0</v>
      </c>
      <c r="J2" s="4"/>
      <c r="K2" s="4" t="s">
        <v>7</v>
      </c>
      <c r="L2" s="2"/>
      <c r="M2" s="1"/>
      <c r="N2" s="1"/>
      <c r="O2" s="1"/>
      <c r="P2" s="1"/>
      <c r="Q2" s="1"/>
      <c r="R2" s="1"/>
      <c r="S2" s="11"/>
    </row>
    <row r="3" spans="1:19" x14ac:dyDescent="0.25">
      <c r="A3" s="60" t="s">
        <v>93</v>
      </c>
      <c r="B3" s="60"/>
      <c r="D3" s="6"/>
      <c r="E3" s="1"/>
      <c r="F3" s="1"/>
      <c r="G3" s="2"/>
      <c r="H3" s="2"/>
      <c r="I3" s="2"/>
      <c r="J3" s="2"/>
      <c r="K3" s="12" t="s">
        <v>11</v>
      </c>
      <c r="L3" s="13"/>
      <c r="M3" s="78">
        <v>0.16600999999999999</v>
      </c>
      <c r="N3" s="78">
        <v>0.21675</v>
      </c>
      <c r="O3" s="78">
        <v>0.225352</v>
      </c>
      <c r="P3" s="78">
        <v>0.26569999999999999</v>
      </c>
      <c r="Q3" s="78">
        <v>0.25790000000000002</v>
      </c>
      <c r="R3" s="78">
        <v>0.16500000000000001</v>
      </c>
      <c r="S3" s="79">
        <f t="shared" ref="S3:S10" si="0">AVERAGE(M3:R3)</f>
        <v>0.21611866666666668</v>
      </c>
    </row>
    <row r="4" spans="1:19" x14ac:dyDescent="0.25">
      <c r="A4" s="2"/>
      <c r="B4" s="7" t="s">
        <v>70</v>
      </c>
      <c r="C4" s="105"/>
      <c r="D4" s="8"/>
      <c r="E4" s="2"/>
      <c r="G4" s="7" t="s">
        <v>1</v>
      </c>
      <c r="H4" s="96">
        <v>0</v>
      </c>
      <c r="I4" s="9" t="s">
        <v>2</v>
      </c>
      <c r="J4" s="10"/>
      <c r="K4" s="12" t="s">
        <v>9</v>
      </c>
      <c r="L4" s="13"/>
      <c r="M4" s="78">
        <v>0.24085000000000001</v>
      </c>
      <c r="N4" s="78">
        <v>0.24962000000000001</v>
      </c>
      <c r="O4" s="78">
        <v>0.30318000000000001</v>
      </c>
      <c r="P4" s="78">
        <v>0.39405000000000001</v>
      </c>
      <c r="Q4" s="78">
        <v>0.4965</v>
      </c>
      <c r="R4" s="78">
        <v>0.33</v>
      </c>
      <c r="S4" s="79">
        <f t="shared" si="0"/>
        <v>0.33569999999999994</v>
      </c>
    </row>
    <row r="5" spans="1:19" x14ac:dyDescent="0.25">
      <c r="A5" s="2"/>
      <c r="B5" s="7" t="s">
        <v>4</v>
      </c>
      <c r="C5" s="106">
        <v>2016</v>
      </c>
      <c r="D5" s="2"/>
      <c r="E5" s="2"/>
      <c r="G5" s="7" t="s">
        <v>5</v>
      </c>
      <c r="H5" s="84">
        <v>0</v>
      </c>
      <c r="I5" s="9" t="s">
        <v>6</v>
      </c>
      <c r="J5" s="2"/>
      <c r="K5" s="12" t="s">
        <v>16</v>
      </c>
      <c r="L5" s="13"/>
      <c r="M5" s="78">
        <v>0.11266</v>
      </c>
      <c r="N5" s="78">
        <v>0.12426</v>
      </c>
      <c r="O5" s="78">
        <v>0.14682999999999999</v>
      </c>
      <c r="P5" s="78">
        <v>0.21393999999999999</v>
      </c>
      <c r="Q5" s="78">
        <v>0.17749999999999999</v>
      </c>
      <c r="R5" s="78">
        <v>0.12</v>
      </c>
      <c r="S5" s="79">
        <f t="shared" si="0"/>
        <v>0.14919833333333332</v>
      </c>
    </row>
    <row r="6" spans="1:19" x14ac:dyDescent="0.25">
      <c r="A6" s="2"/>
      <c r="B6" s="7" t="s">
        <v>8</v>
      </c>
      <c r="C6" s="105"/>
      <c r="D6" s="2"/>
      <c r="E6" s="2"/>
      <c r="G6" s="7" t="s">
        <v>10</v>
      </c>
      <c r="H6" s="84">
        <v>0</v>
      </c>
      <c r="I6" s="9" t="s">
        <v>6</v>
      </c>
      <c r="J6" s="2"/>
      <c r="K6" s="12" t="s">
        <v>18</v>
      </c>
      <c r="L6" s="13"/>
      <c r="M6" s="78">
        <v>0.17383999999999999</v>
      </c>
      <c r="N6" s="78">
        <v>0.10516</v>
      </c>
      <c r="O6" s="78">
        <v>0.13736000000000001</v>
      </c>
      <c r="P6" s="78">
        <v>0.1376</v>
      </c>
      <c r="Q6" s="78">
        <v>0.12891</v>
      </c>
      <c r="R6" s="78">
        <v>5.8790000000000002E-2</v>
      </c>
      <c r="S6" s="79">
        <f t="shared" si="0"/>
        <v>0.12361</v>
      </c>
    </row>
    <row r="7" spans="1:19" x14ac:dyDescent="0.25">
      <c r="A7" s="2"/>
      <c r="B7" s="7" t="s">
        <v>12</v>
      </c>
      <c r="C7" s="106"/>
      <c r="D7" s="2"/>
      <c r="E7" s="2"/>
      <c r="G7" s="7" t="s">
        <v>13</v>
      </c>
      <c r="H7" s="84">
        <v>0</v>
      </c>
      <c r="I7" s="9" t="s">
        <v>6</v>
      </c>
      <c r="J7" s="2"/>
      <c r="K7" s="12" t="s">
        <v>21</v>
      </c>
      <c r="L7" s="13"/>
      <c r="M7" s="78">
        <v>0.107</v>
      </c>
      <c r="N7" s="78">
        <v>8.9359999999999995E-2</v>
      </c>
      <c r="O7" s="78">
        <v>7.6999999999999999E-2</v>
      </c>
      <c r="P7" s="78">
        <v>0.12889999999999999</v>
      </c>
      <c r="Q7" s="78">
        <v>9.146E-2</v>
      </c>
      <c r="R7" s="78">
        <v>7.0000000000000007E-2</v>
      </c>
      <c r="S7" s="79">
        <f t="shared" si="0"/>
        <v>9.3953333333333333E-2</v>
      </c>
    </row>
    <row r="8" spans="1:19" x14ac:dyDescent="0.25">
      <c r="A8" s="2"/>
      <c r="B8" s="7" t="s">
        <v>14</v>
      </c>
      <c r="C8" s="105"/>
      <c r="D8" s="2"/>
      <c r="E8" s="2"/>
      <c r="G8" s="7" t="s">
        <v>15</v>
      </c>
      <c r="H8" s="84">
        <v>0</v>
      </c>
      <c r="I8" s="9" t="s">
        <v>6</v>
      </c>
      <c r="J8" s="2"/>
      <c r="K8" s="12" t="s">
        <v>23</v>
      </c>
      <c r="L8" s="13"/>
      <c r="M8" s="78">
        <v>0.19383</v>
      </c>
      <c r="N8" s="78">
        <v>0.31274000000000002</v>
      </c>
      <c r="O8" s="78">
        <v>0.3281</v>
      </c>
      <c r="P8" s="78">
        <v>0.54100000000000004</v>
      </c>
      <c r="Q8" s="78">
        <v>0.52649999999999997</v>
      </c>
      <c r="R8" s="78">
        <v>0.38</v>
      </c>
      <c r="S8" s="79">
        <f t="shared" si="0"/>
        <v>0.38036166666666665</v>
      </c>
    </row>
    <row r="9" spans="1:19" x14ac:dyDescent="0.25">
      <c r="A9" s="14" t="s">
        <v>17</v>
      </c>
      <c r="B9" s="7" t="s">
        <v>74</v>
      </c>
      <c r="C9" s="106"/>
      <c r="D9" s="2"/>
      <c r="E9" s="2"/>
      <c r="G9" s="7" t="s">
        <v>66</v>
      </c>
      <c r="H9" s="84">
        <v>0</v>
      </c>
      <c r="I9" s="9" t="s">
        <v>6</v>
      </c>
      <c r="J9" s="2"/>
      <c r="K9" s="12" t="s">
        <v>92</v>
      </c>
      <c r="L9" s="13"/>
      <c r="M9" s="78">
        <v>8.2949999999999996E-2</v>
      </c>
      <c r="N9" s="78">
        <v>0.13253000000000001</v>
      </c>
      <c r="O9" s="78">
        <v>9.1370000000000007E-2</v>
      </c>
      <c r="P9" s="78">
        <v>0.22337000000000001</v>
      </c>
      <c r="Q9" s="78">
        <v>0.20849999999999999</v>
      </c>
      <c r="R9" s="78">
        <v>0.15</v>
      </c>
      <c r="S9" s="79">
        <f t="shared" si="0"/>
        <v>0.14812</v>
      </c>
    </row>
    <row r="10" spans="1:19" x14ac:dyDescent="0.25">
      <c r="A10" s="2"/>
      <c r="B10" s="7" t="s">
        <v>75</v>
      </c>
      <c r="C10" s="106"/>
      <c r="D10" s="2"/>
      <c r="E10" s="2"/>
      <c r="G10" s="7" t="s">
        <v>101</v>
      </c>
      <c r="H10" s="84">
        <v>0</v>
      </c>
      <c r="I10" s="9" t="s">
        <v>6</v>
      </c>
      <c r="J10" s="15"/>
      <c r="K10" s="12" t="s">
        <v>25</v>
      </c>
      <c r="L10" s="13"/>
      <c r="M10" s="78">
        <v>0.16353999999999999</v>
      </c>
      <c r="N10" s="78">
        <v>0.15920000000000001</v>
      </c>
      <c r="O10" s="78">
        <v>0.15512999999999999</v>
      </c>
      <c r="P10" s="78">
        <v>0.22084000000000001</v>
      </c>
      <c r="Q10" s="78">
        <v>0.1915</v>
      </c>
      <c r="R10" s="78">
        <v>0.14000000000000001</v>
      </c>
      <c r="S10" s="79">
        <f t="shared" si="0"/>
        <v>0.17170166666666667</v>
      </c>
    </row>
    <row r="11" spans="1:19" x14ac:dyDescent="0.25">
      <c r="A11" s="2"/>
      <c r="B11" s="7" t="s">
        <v>76</v>
      </c>
      <c r="C11" s="107"/>
      <c r="D11" s="2"/>
      <c r="G11" s="7" t="s">
        <v>19</v>
      </c>
      <c r="H11" s="96">
        <v>0</v>
      </c>
      <c r="I11" s="9" t="s">
        <v>20</v>
      </c>
      <c r="J11" s="15"/>
    </row>
    <row r="12" spans="1:19" x14ac:dyDescent="0.25">
      <c r="A12" s="85"/>
      <c r="B12" s="86" t="s">
        <v>26</v>
      </c>
      <c r="C12" s="87">
        <f>IF(C9+C10=0,0,IF(C9+C10=0,0,ROUND((43560/(C9*C10)),0.1)))</f>
        <v>0</v>
      </c>
      <c r="D12" s="88"/>
      <c r="E12" s="2"/>
      <c r="G12" s="7" t="s">
        <v>22</v>
      </c>
      <c r="H12" s="108">
        <v>1</v>
      </c>
      <c r="J12" s="2"/>
    </row>
    <row r="13" spans="1:19" x14ac:dyDescent="0.25">
      <c r="A13" s="86"/>
      <c r="B13" s="86" t="s">
        <v>27</v>
      </c>
      <c r="C13" s="89">
        <f>IF(C12=0,0,IF(C12=0,0,ROUND((C11/C12),2)))</f>
        <v>0</v>
      </c>
      <c r="D13" s="90" t="s">
        <v>28</v>
      </c>
      <c r="E13" s="2"/>
      <c r="G13" s="7" t="s">
        <v>53</v>
      </c>
      <c r="H13" s="84">
        <v>0</v>
      </c>
      <c r="I13" s="16" t="s">
        <v>24</v>
      </c>
      <c r="J13" s="2"/>
    </row>
    <row r="14" spans="1:19" x14ac:dyDescent="0.25">
      <c r="B14" s="91"/>
      <c r="C14" s="92"/>
      <c r="D14" s="93"/>
      <c r="E14" s="92"/>
      <c r="F14" s="93" t="s">
        <v>104</v>
      </c>
      <c r="G14" s="94">
        <f>C6</f>
        <v>0</v>
      </c>
      <c r="H14" s="92"/>
      <c r="I14" s="95"/>
      <c r="J14" s="2"/>
      <c r="K14" s="10"/>
      <c r="L14" s="15"/>
      <c r="M14" s="18"/>
      <c r="N14" s="18"/>
      <c r="O14" s="18"/>
      <c r="P14" s="18"/>
      <c r="Q14" s="18"/>
      <c r="R14" s="18"/>
      <c r="S14" s="11"/>
    </row>
    <row r="15" spans="1:19" x14ac:dyDescent="0.25">
      <c r="B15" s="121" t="s">
        <v>105</v>
      </c>
      <c r="C15" s="122"/>
      <c r="D15" s="17">
        <f>C5</f>
        <v>2016</v>
      </c>
      <c r="E15" s="17">
        <f>D15+1</f>
        <v>2017</v>
      </c>
      <c r="F15" s="17">
        <f t="shared" ref="F15:I15" si="1">E15+1</f>
        <v>2018</v>
      </c>
      <c r="G15" s="17">
        <f t="shared" si="1"/>
        <v>2019</v>
      </c>
      <c r="H15" s="17">
        <f t="shared" si="1"/>
        <v>2020</v>
      </c>
      <c r="I15" s="21">
        <f t="shared" si="1"/>
        <v>2021</v>
      </c>
      <c r="J15" s="2"/>
      <c r="K15" s="10"/>
      <c r="L15" s="15"/>
      <c r="M15" s="18"/>
      <c r="N15" s="18"/>
      <c r="O15" s="18"/>
      <c r="P15" s="18"/>
      <c r="Q15" s="18"/>
      <c r="R15" s="18"/>
      <c r="S15" s="11"/>
    </row>
    <row r="16" spans="1:19" x14ac:dyDescent="0.25">
      <c r="B16" s="123">
        <f>(D16+E16+F16+G16+H16+I16)/6</f>
        <v>0</v>
      </c>
      <c r="C16" s="124"/>
      <c r="D16" s="96">
        <v>0</v>
      </c>
      <c r="E16" s="96">
        <v>0</v>
      </c>
      <c r="F16" s="96">
        <v>0</v>
      </c>
      <c r="G16" s="96">
        <v>0</v>
      </c>
      <c r="H16" s="96">
        <v>0</v>
      </c>
      <c r="I16" s="97">
        <v>0</v>
      </c>
      <c r="J16" s="15"/>
      <c r="L16" s="2"/>
    </row>
    <row r="17" spans="1:12" x14ac:dyDescent="0.25">
      <c r="D17" s="125" t="s">
        <v>94</v>
      </c>
      <c r="E17" s="126"/>
      <c r="F17" s="126"/>
      <c r="G17" s="126"/>
      <c r="H17" s="126"/>
      <c r="I17" s="127"/>
      <c r="J17" s="2"/>
      <c r="L17" s="14"/>
    </row>
    <row r="18" spans="1:12" x14ac:dyDescent="0.25">
      <c r="A18" s="19"/>
      <c r="B18" s="10"/>
      <c r="C18" s="2"/>
      <c r="D18" s="20">
        <f>C5</f>
        <v>2016</v>
      </c>
      <c r="E18" s="17">
        <f>D18+1</f>
        <v>2017</v>
      </c>
      <c r="F18" s="17">
        <f>E18+1</f>
        <v>2018</v>
      </c>
      <c r="G18" s="17">
        <f>F18+1</f>
        <v>2019</v>
      </c>
      <c r="H18" s="17">
        <f>G18+1</f>
        <v>2020</v>
      </c>
      <c r="I18" s="21">
        <f>H18+1</f>
        <v>2021</v>
      </c>
      <c r="J18" s="2"/>
      <c r="L18" s="2"/>
    </row>
    <row r="19" spans="1:12" x14ac:dyDescent="0.25">
      <c r="A19" s="19"/>
      <c r="B19" s="15"/>
      <c r="C19" s="2"/>
      <c r="D19" s="109">
        <v>0</v>
      </c>
      <c r="E19" s="110">
        <v>0</v>
      </c>
      <c r="F19" s="110">
        <v>0</v>
      </c>
      <c r="G19" s="110">
        <v>0</v>
      </c>
      <c r="H19" s="110">
        <v>0</v>
      </c>
      <c r="I19" s="111">
        <v>0</v>
      </c>
      <c r="J19" s="2"/>
      <c r="L19" s="2"/>
    </row>
    <row r="20" spans="1:12" x14ac:dyDescent="0.25">
      <c r="A20" s="22" t="s">
        <v>29</v>
      </c>
      <c r="B20" s="23"/>
      <c r="C20" s="24"/>
      <c r="D20" s="25"/>
      <c r="E20" s="26" t="s">
        <v>30</v>
      </c>
      <c r="F20" s="27"/>
      <c r="G20" s="28"/>
      <c r="H20" s="29">
        <f>C6</f>
        <v>0</v>
      </c>
      <c r="I20" s="30"/>
      <c r="J20" s="2"/>
      <c r="L20" s="2"/>
    </row>
    <row r="21" spans="1:12" x14ac:dyDescent="0.25">
      <c r="A21" s="98">
        <f>C13</f>
        <v>0</v>
      </c>
      <c r="B21" s="99"/>
      <c r="C21" s="100"/>
      <c r="D21" s="101"/>
      <c r="E21" s="102">
        <f>C4</f>
        <v>0</v>
      </c>
      <c r="F21" s="103"/>
      <c r="G21" s="99"/>
      <c r="H21" s="103" t="s">
        <v>31</v>
      </c>
      <c r="I21" s="104"/>
      <c r="J21" s="2"/>
    </row>
    <row r="22" spans="1:12" x14ac:dyDescent="0.25">
      <c r="A22" s="31" t="s">
        <v>32</v>
      </c>
      <c r="B22" s="32"/>
      <c r="C22" s="32"/>
      <c r="D22" s="32">
        <f>C5</f>
        <v>2016</v>
      </c>
      <c r="E22" s="32">
        <f>D22+1</f>
        <v>2017</v>
      </c>
      <c r="F22" s="32">
        <f>E22+1</f>
        <v>2018</v>
      </c>
      <c r="G22" s="32">
        <f>F22+1</f>
        <v>2019</v>
      </c>
      <c r="H22" s="32">
        <f>G22+1</f>
        <v>2020</v>
      </c>
      <c r="I22" s="33">
        <f>H22+1</f>
        <v>2021</v>
      </c>
      <c r="J22" s="2"/>
    </row>
    <row r="23" spans="1:12" x14ac:dyDescent="0.25">
      <c r="A23" s="34" t="s">
        <v>33</v>
      </c>
      <c r="B23" s="35"/>
      <c r="C23" s="36"/>
      <c r="D23" s="37">
        <f>IF($C$11=0,0,IF($C$11=0,0,D24/$C$11))</f>
        <v>0</v>
      </c>
      <c r="E23" s="37">
        <f t="shared" ref="E23:I23" si="2">IF($C$11=0,0,IF($C$11=0,0,E24/$C$11))</f>
        <v>0</v>
      </c>
      <c r="F23" s="37">
        <f t="shared" si="2"/>
        <v>0</v>
      </c>
      <c r="G23" s="37">
        <f t="shared" si="2"/>
        <v>0</v>
      </c>
      <c r="H23" s="37">
        <f t="shared" si="2"/>
        <v>0</v>
      </c>
      <c r="I23" s="37">
        <f t="shared" si="2"/>
        <v>0</v>
      </c>
      <c r="J23" s="2"/>
    </row>
    <row r="24" spans="1:12" x14ac:dyDescent="0.25">
      <c r="A24" s="38" t="s">
        <v>34</v>
      </c>
      <c r="B24" s="39"/>
      <c r="C24" s="40"/>
      <c r="D24" s="41">
        <f t="shared" ref="D24:I24" si="3">D25*800</f>
        <v>0</v>
      </c>
      <c r="E24" s="41">
        <f t="shared" si="3"/>
        <v>0</v>
      </c>
      <c r="F24" s="41">
        <f t="shared" si="3"/>
        <v>0</v>
      </c>
      <c r="G24" s="41">
        <f t="shared" si="3"/>
        <v>0</v>
      </c>
      <c r="H24" s="41">
        <f t="shared" si="3"/>
        <v>0</v>
      </c>
      <c r="I24" s="41">
        <f t="shared" si="3"/>
        <v>0</v>
      </c>
      <c r="J24" s="2"/>
    </row>
    <row r="25" spans="1:12" x14ac:dyDescent="0.25">
      <c r="A25" s="38" t="s">
        <v>35</v>
      </c>
      <c r="B25" s="39"/>
      <c r="C25" s="42"/>
      <c r="D25" s="37">
        <f t="shared" ref="D25:I25" si="4">D19*$C$13</f>
        <v>0</v>
      </c>
      <c r="E25" s="37">
        <f t="shared" si="4"/>
        <v>0</v>
      </c>
      <c r="F25" s="37">
        <f t="shared" si="4"/>
        <v>0</v>
      </c>
      <c r="G25" s="37">
        <f t="shared" si="4"/>
        <v>0</v>
      </c>
      <c r="H25" s="37">
        <f t="shared" si="4"/>
        <v>0</v>
      </c>
      <c r="I25" s="37">
        <f t="shared" si="4"/>
        <v>0</v>
      </c>
      <c r="J25" s="2"/>
    </row>
    <row r="26" spans="1:12" x14ac:dyDescent="0.25">
      <c r="A26" s="38" t="s">
        <v>36</v>
      </c>
      <c r="B26" s="39"/>
      <c r="C26" s="42"/>
      <c r="D26" s="43">
        <f>$D$16</f>
        <v>0</v>
      </c>
      <c r="E26" s="43">
        <f>$E$16</f>
        <v>0</v>
      </c>
      <c r="F26" s="43">
        <f>$F$16</f>
        <v>0</v>
      </c>
      <c r="G26" s="43">
        <f>$G$16</f>
        <v>0</v>
      </c>
      <c r="H26" s="43">
        <f>$H$16</f>
        <v>0</v>
      </c>
      <c r="I26" s="43">
        <f>$I$16</f>
        <v>0</v>
      </c>
      <c r="J26" s="2"/>
    </row>
    <row r="27" spans="1:12" x14ac:dyDescent="0.25">
      <c r="A27" s="12" t="s">
        <v>95</v>
      </c>
      <c r="B27" s="39"/>
      <c r="C27" s="42"/>
      <c r="D27" s="44">
        <f t="shared" ref="D27:I27" si="5">D26*D24</f>
        <v>0</v>
      </c>
      <c r="E27" s="44">
        <f t="shared" si="5"/>
        <v>0</v>
      </c>
      <c r="F27" s="44">
        <f t="shared" si="5"/>
        <v>0</v>
      </c>
      <c r="G27" s="44">
        <f t="shared" si="5"/>
        <v>0</v>
      </c>
      <c r="H27" s="44">
        <f t="shared" si="5"/>
        <v>0</v>
      </c>
      <c r="I27" s="44">
        <f t="shared" si="5"/>
        <v>0</v>
      </c>
      <c r="J27" s="2"/>
    </row>
    <row r="28" spans="1:12" x14ac:dyDescent="0.25">
      <c r="A28" s="45" t="s">
        <v>37</v>
      </c>
      <c r="B28" s="32"/>
      <c r="C28" s="33"/>
      <c r="D28" s="46">
        <f>IF($C$13=0,0,IF($H$13&gt;0,300,0)+IF($C$11*3.5&gt;75000,75000,IF($C$11*3.5/$C$13&gt;7500,7500*$C$13,$C$11*3.5)))</f>
        <v>0</v>
      </c>
      <c r="E28" s="44"/>
      <c r="F28" s="44"/>
      <c r="G28" s="44"/>
      <c r="H28" s="44"/>
      <c r="I28" s="44"/>
      <c r="J28" s="2"/>
    </row>
    <row r="29" spans="1:12" x14ac:dyDescent="0.25">
      <c r="A29" s="12" t="s">
        <v>38</v>
      </c>
      <c r="B29" s="39"/>
      <c r="C29" s="42"/>
      <c r="D29" s="47">
        <f>D27+D28</f>
        <v>0</v>
      </c>
      <c r="E29" s="47">
        <f t="shared" ref="E29:I29" si="6">E27+E28</f>
        <v>0</v>
      </c>
      <c r="F29" s="47">
        <f t="shared" si="6"/>
        <v>0</v>
      </c>
      <c r="G29" s="47">
        <f t="shared" si="6"/>
        <v>0</v>
      </c>
      <c r="H29" s="47">
        <f t="shared" si="6"/>
        <v>0</v>
      </c>
      <c r="I29" s="44">
        <f t="shared" si="6"/>
        <v>0</v>
      </c>
      <c r="J29" s="2"/>
    </row>
    <row r="30" spans="1:12" x14ac:dyDescent="0.25">
      <c r="A30" s="31" t="s">
        <v>39</v>
      </c>
      <c r="B30" s="32"/>
      <c r="C30" s="32"/>
      <c r="D30" s="32"/>
      <c r="E30" s="32"/>
      <c r="F30" s="32"/>
      <c r="G30" s="32"/>
      <c r="H30" s="32"/>
      <c r="I30" s="33"/>
      <c r="J30" s="2"/>
    </row>
    <row r="31" spans="1:12" x14ac:dyDescent="0.25">
      <c r="A31" s="38" t="s">
        <v>40</v>
      </c>
      <c r="B31" s="48"/>
      <c r="C31" s="48"/>
      <c r="D31" s="46">
        <f>$C$13*($H$5+$H$9)</f>
        <v>0</v>
      </c>
      <c r="E31" s="46">
        <f>($C$11*0.03)*0.05815*$H$11*$H$12</f>
        <v>0</v>
      </c>
      <c r="F31" s="49"/>
      <c r="G31" s="49"/>
      <c r="H31" s="49"/>
      <c r="I31" s="49"/>
      <c r="J31" s="2"/>
    </row>
    <row r="32" spans="1:12" x14ac:dyDescent="0.25">
      <c r="A32" s="38" t="s">
        <v>54</v>
      </c>
      <c r="B32" s="48"/>
      <c r="C32" s="48"/>
      <c r="D32" s="46">
        <f>IF($H$13&gt;0,$H$13,0)+$C$13*$H$6</f>
        <v>0</v>
      </c>
      <c r="E32" s="49"/>
      <c r="F32" s="49"/>
      <c r="G32" s="49"/>
      <c r="H32" s="49"/>
      <c r="I32" s="49"/>
      <c r="J32" s="2"/>
    </row>
    <row r="33" spans="1:18" x14ac:dyDescent="0.25">
      <c r="A33" s="38" t="s">
        <v>41</v>
      </c>
      <c r="B33" s="48"/>
      <c r="C33" s="48"/>
      <c r="D33" s="46">
        <f>$C$13*$H$7</f>
        <v>0</v>
      </c>
      <c r="E33" s="49"/>
      <c r="F33" s="49"/>
      <c r="G33" s="49"/>
      <c r="H33" s="49"/>
      <c r="I33" s="49"/>
      <c r="J33" s="2"/>
    </row>
    <row r="34" spans="1:18" x14ac:dyDescent="0.25">
      <c r="A34" s="38" t="s">
        <v>42</v>
      </c>
      <c r="B34" s="48"/>
      <c r="C34" s="48"/>
      <c r="D34" s="46">
        <f>($C$13*$H$8)+H10</f>
        <v>0</v>
      </c>
      <c r="E34" s="46">
        <f>H10*$C$13</f>
        <v>0</v>
      </c>
      <c r="F34" s="46">
        <f>E34</f>
        <v>0</v>
      </c>
      <c r="G34" s="46">
        <f>F34</f>
        <v>0</v>
      </c>
      <c r="H34" s="46">
        <f>G34</f>
        <v>0</v>
      </c>
      <c r="I34" s="46">
        <f>H34</f>
        <v>0</v>
      </c>
      <c r="J34" s="2"/>
    </row>
    <row r="35" spans="1:18" x14ac:dyDescent="0.25">
      <c r="A35" s="38" t="s">
        <v>90</v>
      </c>
      <c r="B35" s="48"/>
      <c r="C35" s="50" t="s">
        <v>43</v>
      </c>
      <c r="D35" s="46">
        <f>($C$11*$H$4)</f>
        <v>0</v>
      </c>
      <c r="E35" s="46">
        <f>D35*0.03</f>
        <v>0</v>
      </c>
      <c r="F35" s="49" t="s">
        <v>44</v>
      </c>
      <c r="G35" s="49" t="s">
        <v>44</v>
      </c>
      <c r="H35" s="49" t="s">
        <v>44</v>
      </c>
      <c r="I35" s="49"/>
      <c r="J35" s="2"/>
    </row>
    <row r="36" spans="1:18" x14ac:dyDescent="0.25">
      <c r="A36" s="38" t="s">
        <v>87</v>
      </c>
      <c r="B36" s="48"/>
      <c r="C36" s="55"/>
      <c r="D36" s="46">
        <f>$C$13*209</f>
        <v>0</v>
      </c>
      <c r="E36" s="46">
        <f>$C$13*209</f>
        <v>0</v>
      </c>
      <c r="F36" s="46">
        <f>$C$13*55</f>
        <v>0</v>
      </c>
      <c r="G36" s="46">
        <f>$C$13*73</f>
        <v>0</v>
      </c>
      <c r="H36" s="46">
        <f>$C$13*73</f>
        <v>0</v>
      </c>
      <c r="I36" s="46">
        <f>$C$13*73</f>
        <v>0</v>
      </c>
      <c r="J36" s="2"/>
    </row>
    <row r="37" spans="1:18" x14ac:dyDescent="0.25">
      <c r="A37" s="38" t="s">
        <v>84</v>
      </c>
      <c r="B37" s="51" t="s">
        <v>85</v>
      </c>
      <c r="C37" s="71"/>
      <c r="D37" s="46">
        <f>$C$13*106</f>
        <v>0</v>
      </c>
      <c r="E37" s="46">
        <f>$C$13*121</f>
        <v>0</v>
      </c>
      <c r="F37" s="46">
        <f>$C$13*121</f>
        <v>0</v>
      </c>
      <c r="G37" s="46">
        <f>$C$13*121</f>
        <v>0</v>
      </c>
      <c r="H37" s="46">
        <f>$C$13*121</f>
        <v>0</v>
      </c>
      <c r="I37" s="46">
        <f>$C$13*121</f>
        <v>0</v>
      </c>
      <c r="J37" s="2"/>
    </row>
    <row r="38" spans="1:18" x14ac:dyDescent="0.25">
      <c r="A38" s="38" t="s">
        <v>86</v>
      </c>
      <c r="B38" s="51"/>
      <c r="C38" s="71"/>
      <c r="D38" s="46">
        <f>$C$13*(47+91+21.5)</f>
        <v>0</v>
      </c>
      <c r="E38" s="46">
        <f>$C$13*(308+194+12.5)</f>
        <v>0</v>
      </c>
      <c r="F38" s="46">
        <f>$C$13*(308+194+12.5)</f>
        <v>0</v>
      </c>
      <c r="G38" s="46">
        <f>$C$13*(308+194+12.5)</f>
        <v>0</v>
      </c>
      <c r="H38" s="46">
        <f>$C$13*(308+194+12.5)</f>
        <v>0</v>
      </c>
      <c r="I38" s="46">
        <f>$C$13*(308+194+12.5)</f>
        <v>0</v>
      </c>
      <c r="J38" s="2"/>
    </row>
    <row r="39" spans="1:18" x14ac:dyDescent="0.25">
      <c r="A39" s="38" t="s">
        <v>45</v>
      </c>
      <c r="B39" s="51"/>
      <c r="C39" s="52">
        <f>H11</f>
        <v>0</v>
      </c>
      <c r="D39" s="46">
        <f>$C$13*22*$H$11*$H$12</f>
        <v>0</v>
      </c>
      <c r="E39" s="46">
        <f>$C$13*24*$H$11*$H$12</f>
        <v>0</v>
      </c>
      <c r="F39" s="46">
        <f>$C$13*24*$H$11*$H$12</f>
        <v>0</v>
      </c>
      <c r="G39" s="46">
        <f>$C$13*24*$H$11*$H$12</f>
        <v>0</v>
      </c>
      <c r="H39" s="46">
        <f>$C$13*24*$H$11*$H$12</f>
        <v>0</v>
      </c>
      <c r="I39" s="46">
        <f>$C$13*24*$H$11*$H$12</f>
        <v>0</v>
      </c>
      <c r="J39" s="2"/>
    </row>
    <row r="40" spans="1:18" x14ac:dyDescent="0.25">
      <c r="A40" s="53" t="str">
        <f>IF(C12&lt;1000,"Pruning (0.7 &amp; 2.6min/tr)",IF(C12&gt;2000,"Pruning (0.5 &amp; 2min/tr)","Pruning (0.6 &amp; 2.3min/tr)"))</f>
        <v>Pruning (0.7 &amp; 2.6min/tr)</v>
      </c>
      <c r="C40" s="52">
        <f>H11</f>
        <v>0</v>
      </c>
      <c r="D40" s="46">
        <f>(IF($C$12&lt;1000,((0.7*$C$11/60)*$H$11),IF($C$12&gt;2000,((0.5*$C$11/60)*$H$11),((0.6*$C$11/60)*$H$11))))*$H$12</f>
        <v>0</v>
      </c>
      <c r="E40" s="46">
        <f>(IF($C$12&lt;1000,((0.7*$C$11/60)*$H$11),IF($C$12&gt;2000,((0.5*$C$11/60)*$H$11),((0.6*$C$11/60)*$H$11))))*$H$12</f>
        <v>0</v>
      </c>
      <c r="F40" s="46">
        <f>(IF($C$12&lt;1000,((0.7*$C$11/60)*$H$11),IF($C$12&gt;2000,((0.5*$C$11/60)*$H$11),((0.6*$C$11/60)*$H$11))))*$H$12</f>
        <v>0</v>
      </c>
      <c r="G40" s="46">
        <f>(IF($C$12&lt;1000,((2.6*$C$11/60)*$H$11),IF($C$12&gt;2000,((2*$C$11/60)*$H$11),((2.3*$C$11/60)*$H$11))))*$H$12</f>
        <v>0</v>
      </c>
      <c r="H40" s="46">
        <f>(IF($C$12&lt;1000,((2.6*$C$11/60)*$H$11),IF($C$12&gt;2000,((2*$C$11/60)*$H$11),((2.3*$C$11/60)*$H$11))))*$H$12</f>
        <v>0</v>
      </c>
      <c r="I40" s="46">
        <f>(IF($C$12&lt;1000,((2.6*$C$11/60)*$H$11),IF($C$12&gt;2000,((2*$C$11/60)*$H$11),((2.3*$C$11/60)*$H$11))))*$H$12</f>
        <v>0</v>
      </c>
      <c r="J40" s="2"/>
    </row>
    <row r="41" spans="1:18" x14ac:dyDescent="0.25">
      <c r="A41" s="53" t="s">
        <v>46</v>
      </c>
      <c r="B41" s="54"/>
      <c r="C41" s="52">
        <f>C40</f>
        <v>0</v>
      </c>
      <c r="D41" s="46">
        <f>(4*$C$13*$H$11)*$H$12</f>
        <v>0</v>
      </c>
      <c r="E41" s="46">
        <f>10*$C$13*$H$11*$H$12</f>
        <v>0</v>
      </c>
      <c r="F41" s="46">
        <f>20*$C$13*$H$11*$H$12</f>
        <v>0</v>
      </c>
      <c r="G41" s="46">
        <f>30*$C$13*$H$11*$H$12</f>
        <v>0</v>
      </c>
      <c r="H41" s="46">
        <f>40*$C$13*$H$11*$H$12</f>
        <v>0</v>
      </c>
      <c r="I41" s="46">
        <f>45*$C$13*$H$11*$H$12</f>
        <v>0</v>
      </c>
      <c r="J41" s="2"/>
    </row>
    <row r="42" spans="1:18" x14ac:dyDescent="0.25">
      <c r="A42" s="38" t="s">
        <v>47</v>
      </c>
      <c r="B42" s="48"/>
      <c r="C42" s="50" t="s">
        <v>48</v>
      </c>
      <c r="D42" s="46">
        <f>$C$13*100</f>
        <v>0</v>
      </c>
      <c r="E42" s="46">
        <f>IF($C$13=0,0,IF($C$13&gt;1.7,$C$13*70,70))</f>
        <v>0</v>
      </c>
      <c r="F42" s="46">
        <f>E42</f>
        <v>0</v>
      </c>
      <c r="G42" s="46">
        <f>F42</f>
        <v>0</v>
      </c>
      <c r="H42" s="46">
        <f>G42</f>
        <v>0</v>
      </c>
      <c r="I42" s="46">
        <f>H42</f>
        <v>0</v>
      </c>
      <c r="J42" s="2"/>
    </row>
    <row r="43" spans="1:18" x14ac:dyDescent="0.25">
      <c r="A43" s="38" t="s">
        <v>91</v>
      </c>
      <c r="B43" s="48"/>
      <c r="C43" s="50"/>
      <c r="D43" s="46">
        <f>($C$13*800)</f>
        <v>0</v>
      </c>
      <c r="E43" s="46">
        <f>($C$13*500)</f>
        <v>0</v>
      </c>
      <c r="F43" s="46">
        <f>($C$13*500)</f>
        <v>0</v>
      </c>
      <c r="G43" s="46">
        <f>F43*1.025</f>
        <v>0</v>
      </c>
      <c r="H43" s="46">
        <f t="shared" ref="H43:I43" si="7">G43*1.025</f>
        <v>0</v>
      </c>
      <c r="I43" s="46">
        <f t="shared" si="7"/>
        <v>0</v>
      </c>
      <c r="J43" s="2"/>
    </row>
    <row r="44" spans="1:18" x14ac:dyDescent="0.25">
      <c r="A44" s="38" t="s">
        <v>49</v>
      </c>
      <c r="B44" s="48"/>
      <c r="C44" s="50" t="s">
        <v>50</v>
      </c>
      <c r="D44" s="46">
        <f>(D24*0.028)</f>
        <v>0</v>
      </c>
      <c r="E44" s="46">
        <f>E24*0.028</f>
        <v>0</v>
      </c>
      <c r="F44" s="46">
        <f>F24*0.028</f>
        <v>0</v>
      </c>
      <c r="G44" s="46">
        <f>G24*0.028</f>
        <v>0</v>
      </c>
      <c r="H44" s="46">
        <f>H24*0.028</f>
        <v>0</v>
      </c>
      <c r="I44" s="46">
        <f>I24*0.028</f>
        <v>0</v>
      </c>
      <c r="J44" s="2"/>
    </row>
    <row r="45" spans="1:18" x14ac:dyDescent="0.25">
      <c r="A45" s="38" t="s">
        <v>51</v>
      </c>
      <c r="B45" s="55"/>
      <c r="C45" s="56">
        <v>0.03</v>
      </c>
      <c r="D45" s="46">
        <f t="shared" ref="D45:I45" si="8">SUM(D31:D44)*0.03</f>
        <v>0</v>
      </c>
      <c r="E45" s="46">
        <f t="shared" si="8"/>
        <v>0</v>
      </c>
      <c r="F45" s="46">
        <f t="shared" si="8"/>
        <v>0</v>
      </c>
      <c r="G45" s="46">
        <f t="shared" si="8"/>
        <v>0</v>
      </c>
      <c r="H45" s="46">
        <f t="shared" si="8"/>
        <v>0</v>
      </c>
      <c r="I45" s="46">
        <f t="shared" si="8"/>
        <v>0</v>
      </c>
      <c r="J45" s="2"/>
    </row>
    <row r="46" spans="1:18" x14ac:dyDescent="0.25">
      <c r="A46" s="12" t="s">
        <v>96</v>
      </c>
      <c r="B46" s="39"/>
      <c r="C46" s="39"/>
      <c r="D46" s="44">
        <f t="shared" ref="D46:I46" si="9">SUM(D31:D45)</f>
        <v>0</v>
      </c>
      <c r="E46" s="44">
        <f t="shared" si="9"/>
        <v>0</v>
      </c>
      <c r="F46" s="44">
        <f t="shared" si="9"/>
        <v>0</v>
      </c>
      <c r="G46" s="44">
        <f t="shared" si="9"/>
        <v>0</v>
      </c>
      <c r="H46" s="44">
        <f t="shared" si="9"/>
        <v>0</v>
      </c>
      <c r="I46" s="44">
        <f t="shared" si="9"/>
        <v>0</v>
      </c>
      <c r="J46" s="2"/>
      <c r="K46" s="2"/>
      <c r="L46" s="2"/>
      <c r="M46" s="2"/>
      <c r="N46" s="2"/>
      <c r="O46" s="2"/>
      <c r="P46" s="2"/>
      <c r="Q46" s="2"/>
      <c r="R46" s="11"/>
    </row>
    <row r="47" spans="1:18" x14ac:dyDescent="0.25">
      <c r="A47" s="81" t="s">
        <v>97</v>
      </c>
      <c r="B47" s="82"/>
      <c r="C47" s="83"/>
      <c r="D47" s="44">
        <f t="shared" ref="D47:I47" si="10">D29-D46</f>
        <v>0</v>
      </c>
      <c r="E47" s="44">
        <f t="shared" si="10"/>
        <v>0</v>
      </c>
      <c r="F47" s="44">
        <f t="shared" si="10"/>
        <v>0</v>
      </c>
      <c r="G47" s="44">
        <f t="shared" si="10"/>
        <v>0</v>
      </c>
      <c r="H47" s="44">
        <f t="shared" si="10"/>
        <v>0</v>
      </c>
      <c r="I47" s="44">
        <f t="shared" si="10"/>
        <v>0</v>
      </c>
      <c r="J47" s="2"/>
      <c r="K47" s="2"/>
      <c r="L47" s="2"/>
      <c r="M47" s="2"/>
      <c r="N47" s="2"/>
      <c r="O47" s="2"/>
      <c r="P47" s="2"/>
      <c r="Q47" s="2"/>
      <c r="R47" s="11"/>
    </row>
    <row r="48" spans="1:18" x14ac:dyDescent="0.25">
      <c r="A48" s="31" t="s">
        <v>98</v>
      </c>
      <c r="B48" s="32"/>
      <c r="C48" s="32"/>
      <c r="D48" s="44">
        <f>($D47)</f>
        <v>0</v>
      </c>
      <c r="E48" s="44">
        <f>($D48+$E47)</f>
        <v>0</v>
      </c>
      <c r="F48" s="44">
        <f>($E48+$F47)</f>
        <v>0</v>
      </c>
      <c r="G48" s="44">
        <f>($F48+$G47)</f>
        <v>0</v>
      </c>
      <c r="H48" s="44">
        <f>($G48+$H47)</f>
        <v>0</v>
      </c>
      <c r="I48" s="44">
        <f>($H48+$I47)</f>
        <v>0</v>
      </c>
      <c r="J48" s="2"/>
      <c r="K48" s="2"/>
      <c r="L48" s="2"/>
      <c r="M48" s="2"/>
      <c r="N48" s="2"/>
      <c r="O48" s="2"/>
      <c r="P48" s="2"/>
      <c r="Q48" s="2"/>
      <c r="R48" s="11"/>
    </row>
    <row r="49" spans="1:19" ht="7.5" customHeight="1" x14ac:dyDescent="0.25">
      <c r="A49" s="57"/>
      <c r="B49" s="57"/>
      <c r="C49" s="57"/>
      <c r="D49" s="58"/>
      <c r="E49" s="58"/>
      <c r="F49" s="58"/>
      <c r="G49" s="58"/>
      <c r="H49" s="58"/>
      <c r="I49" s="58"/>
      <c r="J49" s="2"/>
      <c r="K49" s="2"/>
      <c r="L49" s="2"/>
      <c r="M49" s="2"/>
      <c r="N49" s="2"/>
      <c r="O49" s="2"/>
      <c r="P49" s="2"/>
      <c r="Q49" s="2"/>
      <c r="R49" s="2"/>
      <c r="S49" s="11"/>
    </row>
    <row r="50" spans="1:19" ht="15" customHeight="1" x14ac:dyDescent="0.25">
      <c r="A50" s="120" t="s">
        <v>103</v>
      </c>
      <c r="B50" s="120"/>
      <c r="C50" s="120"/>
      <c r="D50" s="120"/>
      <c r="E50" s="120"/>
      <c r="F50" s="120"/>
      <c r="G50" s="120"/>
      <c r="H50" s="120"/>
      <c r="I50" s="120"/>
      <c r="J50" s="2"/>
      <c r="K50" s="2"/>
      <c r="L50" s="2"/>
      <c r="M50" s="2"/>
      <c r="N50" s="2"/>
      <c r="O50" s="2"/>
      <c r="P50" s="2"/>
      <c r="Q50" s="2"/>
      <c r="R50" s="2"/>
      <c r="S50" s="11"/>
    </row>
    <row r="51" spans="1:19" ht="15" customHeight="1" x14ac:dyDescent="0.25">
      <c r="A51" s="120"/>
      <c r="B51" s="120"/>
      <c r="C51" s="120"/>
      <c r="D51" s="120"/>
      <c r="E51" s="120"/>
      <c r="F51" s="120"/>
      <c r="G51" s="120"/>
      <c r="H51" s="120"/>
      <c r="I51" s="120"/>
      <c r="J51" s="2"/>
      <c r="K51" s="2"/>
      <c r="L51" s="2"/>
      <c r="M51" s="2"/>
      <c r="N51" s="2"/>
      <c r="O51" s="2"/>
      <c r="P51" s="2"/>
      <c r="Q51" s="2"/>
      <c r="R51" s="2"/>
      <c r="S51" s="11"/>
    </row>
    <row r="52" spans="1:19" ht="15" customHeight="1" x14ac:dyDescent="0.25">
      <c r="A52" s="120"/>
      <c r="B52" s="120"/>
      <c r="C52" s="120"/>
      <c r="D52" s="120"/>
      <c r="E52" s="120"/>
      <c r="F52" s="120"/>
      <c r="G52" s="120"/>
      <c r="H52" s="120"/>
      <c r="I52" s="120"/>
      <c r="J52" s="2"/>
      <c r="K52" s="2"/>
      <c r="L52" s="2"/>
      <c r="M52" s="2"/>
      <c r="N52" s="2"/>
      <c r="O52" s="2"/>
      <c r="P52" s="2"/>
      <c r="Q52" s="2"/>
      <c r="R52" s="2"/>
      <c r="S52" s="11"/>
    </row>
    <row r="53" spans="1:19" ht="9" customHeight="1" x14ac:dyDescent="0.25">
      <c r="A53" s="120"/>
      <c r="B53" s="120"/>
      <c r="C53" s="120"/>
      <c r="D53" s="120"/>
      <c r="E53" s="120"/>
      <c r="F53" s="120"/>
      <c r="G53" s="120"/>
      <c r="H53" s="120"/>
      <c r="I53" s="120"/>
    </row>
    <row r="55" spans="1:19" ht="6.75" customHeight="1" x14ac:dyDescent="0.25"/>
    <row r="67" spans="1:9" x14ac:dyDescent="0.25">
      <c r="D67" s="112" t="s">
        <v>108</v>
      </c>
    </row>
    <row r="68" spans="1:9" x14ac:dyDescent="0.25">
      <c r="D68" t="s">
        <v>109</v>
      </c>
    </row>
    <row r="69" spans="1:9" x14ac:dyDescent="0.25">
      <c r="A69" s="113" t="s">
        <v>40</v>
      </c>
      <c r="B69" s="68"/>
      <c r="C69" s="68"/>
      <c r="D69" s="114">
        <f>D31+E31</f>
        <v>0</v>
      </c>
      <c r="E69" s="113" t="s">
        <v>40</v>
      </c>
      <c r="F69" s="115"/>
      <c r="I69" s="116" t="e">
        <f t="shared" ref="I69:I77" si="11">D69/$D$78</f>
        <v>#DIV/0!</v>
      </c>
    </row>
    <row r="70" spans="1:9" x14ac:dyDescent="0.25">
      <c r="A70" s="113" t="s">
        <v>54</v>
      </c>
      <c r="B70" s="68"/>
      <c r="C70" s="68"/>
      <c r="D70" s="114">
        <f>D32+E32</f>
        <v>0</v>
      </c>
      <c r="E70" s="113" t="s">
        <v>54</v>
      </c>
      <c r="F70" s="115"/>
      <c r="I70" s="116" t="e">
        <f t="shared" si="11"/>
        <v>#DIV/0!</v>
      </c>
    </row>
    <row r="71" spans="1:9" x14ac:dyDescent="0.25">
      <c r="A71" s="113" t="s">
        <v>110</v>
      </c>
      <c r="B71" s="68"/>
      <c r="C71" s="68"/>
      <c r="D71" s="114">
        <f>H7+H8</f>
        <v>0</v>
      </c>
      <c r="E71" s="113" t="s">
        <v>110</v>
      </c>
      <c r="F71" s="115"/>
      <c r="I71" s="116" t="e">
        <f t="shared" si="11"/>
        <v>#DIV/0!</v>
      </c>
    </row>
    <row r="72" spans="1:9" x14ac:dyDescent="0.25">
      <c r="A72" s="113" t="s">
        <v>111</v>
      </c>
      <c r="B72" s="68"/>
      <c r="C72" s="68"/>
      <c r="D72" s="114">
        <f>D35+E35</f>
        <v>0</v>
      </c>
      <c r="E72" s="113" t="s">
        <v>111</v>
      </c>
      <c r="F72" s="115"/>
      <c r="I72" s="116" t="e">
        <f t="shared" si="11"/>
        <v>#DIV/0!</v>
      </c>
    </row>
    <row r="73" spans="1:9" x14ac:dyDescent="0.25">
      <c r="A73" s="113" t="s">
        <v>112</v>
      </c>
      <c r="B73" s="68"/>
      <c r="C73" s="68"/>
      <c r="D73" s="114">
        <f>D36+E36+D37+E37+D38+E38</f>
        <v>0</v>
      </c>
      <c r="E73" s="113" t="s">
        <v>112</v>
      </c>
      <c r="F73" s="115"/>
      <c r="I73" s="116" t="e">
        <f t="shared" si="11"/>
        <v>#DIV/0!</v>
      </c>
    </row>
    <row r="74" spans="1:9" x14ac:dyDescent="0.25">
      <c r="A74" s="113" t="s">
        <v>113</v>
      </c>
      <c r="B74" s="68"/>
      <c r="C74" s="68"/>
      <c r="D74" s="114">
        <f>D39+E39+D40+E40+D41+E41</f>
        <v>0</v>
      </c>
      <c r="E74" s="113" t="s">
        <v>113</v>
      </c>
      <c r="F74" s="115"/>
      <c r="I74" s="116" t="e">
        <f t="shared" si="11"/>
        <v>#DIV/0!</v>
      </c>
    </row>
    <row r="75" spans="1:9" x14ac:dyDescent="0.25">
      <c r="A75" s="113" t="s">
        <v>91</v>
      </c>
      <c r="B75" s="68"/>
      <c r="C75" s="68"/>
      <c r="D75" s="114">
        <f>D43+E43</f>
        <v>0</v>
      </c>
      <c r="E75" s="113" t="s">
        <v>91</v>
      </c>
      <c r="F75" s="115"/>
      <c r="I75" s="116" t="e">
        <f t="shared" si="11"/>
        <v>#DIV/0!</v>
      </c>
    </row>
    <row r="76" spans="1:9" x14ac:dyDescent="0.25">
      <c r="A76" s="117" t="s">
        <v>49</v>
      </c>
      <c r="D76" s="115">
        <f>D44+E44</f>
        <v>0</v>
      </c>
      <c r="E76" s="117" t="s">
        <v>49</v>
      </c>
      <c r="F76" s="115"/>
      <c r="I76" s="116" t="e">
        <f t="shared" si="11"/>
        <v>#DIV/0!</v>
      </c>
    </row>
    <row r="77" spans="1:9" x14ac:dyDescent="0.25">
      <c r="A77" t="s">
        <v>114</v>
      </c>
      <c r="D77" s="115">
        <f>H10+E34+D42+E42+D45+E45</f>
        <v>0</v>
      </c>
      <c r="E77" t="s">
        <v>114</v>
      </c>
      <c r="F77" s="115"/>
      <c r="H77" s="115"/>
      <c r="I77" s="116" t="e">
        <f t="shared" si="11"/>
        <v>#DIV/0!</v>
      </c>
    </row>
    <row r="78" spans="1:9" x14ac:dyDescent="0.25">
      <c r="A78" s="113" t="s">
        <v>115</v>
      </c>
      <c r="C78" s="119" t="str">
        <f>IF((D46+E46)=D78,"Okay","Error")</f>
        <v>Okay</v>
      </c>
      <c r="D78" s="115">
        <f>SUM(D69:D77)</f>
        <v>0</v>
      </c>
      <c r="E78" s="113" t="s">
        <v>115</v>
      </c>
      <c r="F78" s="115"/>
      <c r="I78" s="118" t="e">
        <f>SUM(I69:I77)</f>
        <v>#DIV/0!</v>
      </c>
    </row>
    <row r="79" spans="1:9" x14ac:dyDescent="0.25">
      <c r="A79" s="113"/>
      <c r="D79" s="115"/>
      <c r="E79" s="115"/>
      <c r="F79" s="115"/>
      <c r="I79" s="118"/>
    </row>
    <row r="80" spans="1:9" x14ac:dyDescent="0.25">
      <c r="D80" t="s">
        <v>116</v>
      </c>
      <c r="E80" s="115"/>
      <c r="F80" s="115"/>
      <c r="I80" s="118"/>
    </row>
    <row r="81" spans="1:9" x14ac:dyDescent="0.25">
      <c r="A81" s="113" t="s">
        <v>112</v>
      </c>
      <c r="D81" s="115">
        <f>F36+G36+F37+G37+F38+G38</f>
        <v>0</v>
      </c>
      <c r="E81" s="113" t="s">
        <v>112</v>
      </c>
      <c r="F81" s="115"/>
      <c r="I81" s="116" t="e">
        <f>D81/$D$86</f>
        <v>#DIV/0!</v>
      </c>
    </row>
    <row r="82" spans="1:9" x14ac:dyDescent="0.25">
      <c r="A82" s="113" t="s">
        <v>113</v>
      </c>
      <c r="D82" s="115">
        <f>F39+G39+F40+G40+F41+G41</f>
        <v>0</v>
      </c>
      <c r="E82" s="113" t="s">
        <v>113</v>
      </c>
      <c r="F82" s="115"/>
      <c r="I82" s="116" t="e">
        <f>D82/$D$86</f>
        <v>#DIV/0!</v>
      </c>
    </row>
    <row r="83" spans="1:9" x14ac:dyDescent="0.25">
      <c r="A83" s="113" t="s">
        <v>91</v>
      </c>
      <c r="D83" s="115">
        <f>F43+G43</f>
        <v>0</v>
      </c>
      <c r="E83" s="113" t="s">
        <v>91</v>
      </c>
      <c r="F83" s="115"/>
      <c r="I83" s="116" t="e">
        <f>D83/$D$86</f>
        <v>#DIV/0!</v>
      </c>
    </row>
    <row r="84" spans="1:9" x14ac:dyDescent="0.25">
      <c r="A84" s="117" t="s">
        <v>49</v>
      </c>
      <c r="D84" s="115">
        <f>F44+G44</f>
        <v>0</v>
      </c>
      <c r="E84" s="117" t="s">
        <v>49</v>
      </c>
      <c r="F84" s="115"/>
      <c r="I84" s="116" t="e">
        <f>D84/$D$86</f>
        <v>#DIV/0!</v>
      </c>
    </row>
    <row r="85" spans="1:9" x14ac:dyDescent="0.25">
      <c r="A85" t="s">
        <v>114</v>
      </c>
      <c r="D85" s="115">
        <f>F34+G34+F42+G42+F45+G45</f>
        <v>0</v>
      </c>
      <c r="E85" t="s">
        <v>114</v>
      </c>
      <c r="I85" s="116" t="e">
        <f>D85/$D$86</f>
        <v>#DIV/0!</v>
      </c>
    </row>
    <row r="86" spans="1:9" x14ac:dyDescent="0.25">
      <c r="A86" s="113" t="s">
        <v>115</v>
      </c>
      <c r="C86" s="119" t="str">
        <f>IF((F46+G46)=D86,"Okay","Error")</f>
        <v>Okay</v>
      </c>
      <c r="D86" s="115">
        <f>SUM(D81:D85)</f>
        <v>0</v>
      </c>
      <c r="E86" s="113" t="s">
        <v>115</v>
      </c>
      <c r="I86" s="118" t="e">
        <f>SUM(I81:I85)</f>
        <v>#DIV/0!</v>
      </c>
    </row>
    <row r="87" spans="1:9" x14ac:dyDescent="0.25">
      <c r="D87" t="s">
        <v>117</v>
      </c>
      <c r="I87" s="118"/>
    </row>
    <row r="88" spans="1:9" x14ac:dyDescent="0.25">
      <c r="A88" s="113" t="s">
        <v>112</v>
      </c>
      <c r="D88" s="115">
        <f>H36+I36+H37+I37+H38+I38</f>
        <v>0</v>
      </c>
      <c r="E88" s="113" t="s">
        <v>112</v>
      </c>
      <c r="I88" s="116" t="e">
        <f>D88/$D$93</f>
        <v>#DIV/0!</v>
      </c>
    </row>
    <row r="89" spans="1:9" x14ac:dyDescent="0.25">
      <c r="A89" s="113" t="s">
        <v>113</v>
      </c>
      <c r="D89" s="115">
        <f>H39+I39+H40+I40+H41+I41</f>
        <v>0</v>
      </c>
      <c r="E89" s="113" t="s">
        <v>113</v>
      </c>
      <c r="I89" s="116" t="e">
        <f>D89/$D$93</f>
        <v>#DIV/0!</v>
      </c>
    </row>
    <row r="90" spans="1:9" x14ac:dyDescent="0.25">
      <c r="A90" s="113" t="s">
        <v>91</v>
      </c>
      <c r="D90" s="115">
        <f>H43+I43</f>
        <v>0</v>
      </c>
      <c r="E90" s="113" t="s">
        <v>91</v>
      </c>
      <c r="I90" s="116" t="e">
        <f>D90/$D$93</f>
        <v>#DIV/0!</v>
      </c>
    </row>
    <row r="91" spans="1:9" x14ac:dyDescent="0.25">
      <c r="A91" s="117" t="s">
        <v>49</v>
      </c>
      <c r="D91" s="115">
        <f>H44+I44</f>
        <v>0</v>
      </c>
      <c r="E91" s="117" t="s">
        <v>49</v>
      </c>
      <c r="I91" s="116" t="e">
        <f>D91/$D$93</f>
        <v>#DIV/0!</v>
      </c>
    </row>
    <row r="92" spans="1:9" x14ac:dyDescent="0.25">
      <c r="A92" t="s">
        <v>114</v>
      </c>
      <c r="D92" s="115">
        <f>H34+I34+H42+I42+H45+I45</f>
        <v>0</v>
      </c>
      <c r="E92" t="s">
        <v>114</v>
      </c>
      <c r="I92" s="116" t="e">
        <f>D92/$D$93</f>
        <v>#DIV/0!</v>
      </c>
    </row>
    <row r="93" spans="1:9" x14ac:dyDescent="0.25">
      <c r="A93" s="113" t="s">
        <v>115</v>
      </c>
      <c r="C93" s="119" t="str">
        <f>IF((H46+I46)=D93,"Okay","Error")</f>
        <v>Okay</v>
      </c>
      <c r="D93" s="115">
        <f>SUM(D88:D92)</f>
        <v>0</v>
      </c>
      <c r="E93" s="113" t="s">
        <v>115</v>
      </c>
      <c r="I93" s="118" t="e">
        <f>SUM(I88:I92)</f>
        <v>#DIV/0!</v>
      </c>
    </row>
  </sheetData>
  <sheetProtection algorithmName="SHA-512" hashValue="l5mrHZ04b1ZKDoiuQfcHYJ3c+xaIjepRtwGtx9QfSq7xER++6xcAT7Y1MP5m7+XkAvaj45W5ii1AmVJh4koXgQ==" saltValue="S30UL0yiRf+64nc2YIExAg==" spinCount="100000" sheet="1" objects="1" scenarios="1"/>
  <mergeCells count="4">
    <mergeCell ref="A50:I53"/>
    <mergeCell ref="B15:C15"/>
    <mergeCell ref="B16:C16"/>
    <mergeCell ref="D17:I17"/>
  </mergeCells>
  <hyperlinks>
    <hyperlink ref="A3:B3" location="Instructions!A1" display=" Click here for Instructions"/>
  </hyperlinks>
  <pageMargins left="0.43307086614173229" right="0.23622047244094491" top="0.74803149606299213" bottom="0.74803149606299213" header="0.31496062992125984" footer="0.31496062992125984"/>
  <pageSetup scale="90" orientation="portrait" verticalDpi="0" r:id="rId1"/>
  <headerFooter>
    <oddFooter>&amp;LPrepared on &amp;D&amp;R&amp;"-,Italic"&amp;9Worksheet developed by George Geldart, P.Ag</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workbookViewId="0">
      <selection activeCell="A2" sqref="A2"/>
    </sheetView>
  </sheetViews>
  <sheetFormatPr defaultRowHeight="15" x14ac:dyDescent="0.25"/>
  <cols>
    <col min="2" max="2" width="21.140625" customWidth="1"/>
    <col min="14" max="14" width="5.140625" customWidth="1"/>
  </cols>
  <sheetData>
    <row r="1" spans="1:14" x14ac:dyDescent="0.25">
      <c r="A1" s="61" t="s">
        <v>69</v>
      </c>
      <c r="B1" s="61"/>
      <c r="C1" s="61"/>
      <c r="D1" s="61"/>
      <c r="E1" s="61"/>
      <c r="F1" s="61"/>
      <c r="G1" s="61"/>
      <c r="H1" s="61" t="s">
        <v>63</v>
      </c>
      <c r="I1" s="62"/>
      <c r="J1" s="62"/>
      <c r="K1" s="62"/>
      <c r="L1" s="62"/>
      <c r="M1" s="62"/>
      <c r="N1" s="62"/>
    </row>
    <row r="2" spans="1:14" x14ac:dyDescent="0.25">
      <c r="A2" s="60" t="s">
        <v>64</v>
      </c>
      <c r="B2" s="70"/>
      <c r="C2" s="70"/>
      <c r="D2" s="70"/>
      <c r="E2" s="70"/>
      <c r="F2" s="62"/>
      <c r="G2" s="62"/>
      <c r="H2" s="62"/>
      <c r="I2" s="62"/>
      <c r="J2" s="62"/>
      <c r="K2" s="62"/>
      <c r="L2" s="62"/>
      <c r="M2" s="62"/>
      <c r="N2" s="62"/>
    </row>
    <row r="3" spans="1:14" x14ac:dyDescent="0.25">
      <c r="A3" s="63"/>
      <c r="B3" s="62"/>
      <c r="C3" s="62"/>
      <c r="D3" s="62"/>
      <c r="E3" s="62"/>
      <c r="F3" s="62"/>
      <c r="G3" s="62"/>
      <c r="H3" s="62"/>
      <c r="I3" s="62"/>
      <c r="J3" s="62"/>
      <c r="K3" s="62"/>
      <c r="L3" s="62"/>
      <c r="M3" s="62"/>
      <c r="N3" s="62"/>
    </row>
    <row r="4" spans="1:14" x14ac:dyDescent="0.25">
      <c r="A4" s="129" t="s">
        <v>88</v>
      </c>
      <c r="B4" s="129"/>
      <c r="C4" s="129"/>
      <c r="D4" s="129"/>
      <c r="E4" s="129"/>
      <c r="F4" s="129"/>
      <c r="G4" s="129"/>
      <c r="H4" s="129"/>
      <c r="I4" s="129"/>
      <c r="J4" s="129"/>
      <c r="K4" s="129"/>
      <c r="L4" s="129"/>
      <c r="M4" s="72"/>
      <c r="N4" s="65"/>
    </row>
    <row r="5" spans="1:14" x14ac:dyDescent="0.25">
      <c r="A5" s="129"/>
      <c r="B5" s="129"/>
      <c r="C5" s="129"/>
      <c r="D5" s="129"/>
      <c r="E5" s="129"/>
      <c r="F5" s="129"/>
      <c r="G5" s="129"/>
      <c r="H5" s="129"/>
      <c r="I5" s="129"/>
      <c r="J5" s="129"/>
      <c r="K5" s="129"/>
      <c r="L5" s="129"/>
      <c r="M5" s="72"/>
      <c r="N5" s="65"/>
    </row>
    <row r="6" spans="1:14" x14ac:dyDescent="0.25">
      <c r="A6" s="74"/>
      <c r="B6" s="75"/>
      <c r="C6" s="74"/>
      <c r="D6" s="74"/>
      <c r="E6" s="74"/>
      <c r="F6" s="74"/>
      <c r="G6" s="74"/>
      <c r="H6" s="74"/>
      <c r="I6" s="74"/>
      <c r="J6" s="74"/>
      <c r="K6" s="74"/>
      <c r="L6" s="74"/>
      <c r="M6" s="72"/>
      <c r="N6" s="65"/>
    </row>
    <row r="7" spans="1:14" x14ac:dyDescent="0.25">
      <c r="A7" s="74"/>
      <c r="B7" s="75" t="s">
        <v>82</v>
      </c>
      <c r="C7" s="129" t="s">
        <v>83</v>
      </c>
      <c r="D7" s="129"/>
      <c r="E7" s="129"/>
      <c r="F7" s="129"/>
      <c r="G7" s="129"/>
      <c r="H7" s="129"/>
      <c r="I7" s="129"/>
      <c r="J7" s="129"/>
      <c r="K7" s="129"/>
      <c r="L7" s="74"/>
      <c r="M7" s="72"/>
      <c r="N7" s="65"/>
    </row>
    <row r="8" spans="1:14" x14ac:dyDescent="0.25">
      <c r="A8" s="72"/>
      <c r="B8" s="73"/>
      <c r="C8" s="129"/>
      <c r="D8" s="129"/>
      <c r="E8" s="129"/>
      <c r="F8" s="129"/>
      <c r="G8" s="129"/>
      <c r="H8" s="129"/>
      <c r="I8" s="129"/>
      <c r="J8" s="129"/>
      <c r="K8" s="129"/>
      <c r="L8" s="72"/>
      <c r="M8" s="72"/>
      <c r="N8" s="65"/>
    </row>
    <row r="9" spans="1:14" x14ac:dyDescent="0.25">
      <c r="B9" s="62"/>
      <c r="C9" s="62"/>
      <c r="D9" s="62"/>
      <c r="E9" s="62"/>
      <c r="F9" s="62"/>
      <c r="G9" s="62"/>
      <c r="H9" s="62"/>
      <c r="I9" s="62"/>
      <c r="J9" s="62"/>
      <c r="K9" s="62"/>
      <c r="L9" s="62"/>
      <c r="M9" s="62"/>
      <c r="N9" s="62"/>
    </row>
    <row r="10" spans="1:14" x14ac:dyDescent="0.25">
      <c r="A10" s="64" t="s">
        <v>55</v>
      </c>
      <c r="B10" s="62"/>
      <c r="C10" s="131" t="s">
        <v>77</v>
      </c>
      <c r="D10" s="131"/>
      <c r="E10" s="131"/>
      <c r="F10" s="131"/>
      <c r="G10" s="131"/>
      <c r="H10" s="131"/>
      <c r="I10" s="131"/>
      <c r="J10" s="131"/>
      <c r="K10" s="131"/>
      <c r="L10" s="131"/>
      <c r="M10" s="69"/>
      <c r="N10" s="62"/>
    </row>
    <row r="11" spans="1:14" ht="15" customHeight="1" x14ac:dyDescent="0.25">
      <c r="A11" s="62"/>
      <c r="B11" s="62"/>
      <c r="C11" s="131"/>
      <c r="D11" s="131"/>
      <c r="E11" s="131"/>
      <c r="F11" s="131"/>
      <c r="G11" s="131"/>
      <c r="H11" s="131"/>
      <c r="I11" s="131"/>
      <c r="J11" s="131"/>
      <c r="K11" s="131"/>
      <c r="L11" s="131"/>
      <c r="M11" s="69"/>
      <c r="N11" s="62"/>
    </row>
    <row r="12" spans="1:14" x14ac:dyDescent="0.25">
      <c r="A12" s="62"/>
      <c r="B12" s="62"/>
      <c r="C12" s="62"/>
      <c r="D12" s="62"/>
      <c r="E12" s="62"/>
      <c r="F12" s="62"/>
      <c r="G12" s="62"/>
      <c r="H12" s="62"/>
      <c r="I12" s="62"/>
      <c r="J12" s="62"/>
      <c r="K12" s="62"/>
      <c r="L12" s="62"/>
      <c r="M12" s="62"/>
      <c r="N12" s="62"/>
    </row>
    <row r="13" spans="1:14" x14ac:dyDescent="0.25">
      <c r="A13" s="62"/>
      <c r="B13" s="66" t="s">
        <v>72</v>
      </c>
      <c r="C13" s="128" t="s">
        <v>73</v>
      </c>
      <c r="D13" s="128"/>
      <c r="E13" s="128"/>
      <c r="F13" s="128"/>
      <c r="G13" s="128"/>
      <c r="H13" s="128"/>
      <c r="I13" s="128"/>
      <c r="J13" s="128"/>
      <c r="K13" s="128"/>
      <c r="L13" s="128"/>
      <c r="M13" s="128"/>
      <c r="N13" s="62"/>
    </row>
    <row r="14" spans="1:14" x14ac:dyDescent="0.25">
      <c r="A14" s="62"/>
      <c r="B14" s="66" t="s">
        <v>56</v>
      </c>
      <c r="C14" s="128" t="s">
        <v>65</v>
      </c>
      <c r="D14" s="128"/>
      <c r="E14" s="128"/>
      <c r="F14" s="128"/>
      <c r="G14" s="128"/>
      <c r="H14" s="128"/>
      <c r="I14" s="128"/>
      <c r="J14" s="128"/>
      <c r="K14" s="128"/>
      <c r="L14" s="128"/>
      <c r="M14" s="128"/>
      <c r="N14" s="62"/>
    </row>
    <row r="15" spans="1:14" x14ac:dyDescent="0.25">
      <c r="A15" s="62"/>
      <c r="B15" s="66" t="s">
        <v>57</v>
      </c>
      <c r="C15" s="128" t="s">
        <v>58</v>
      </c>
      <c r="D15" s="128"/>
      <c r="E15" s="128"/>
      <c r="F15" s="128"/>
      <c r="G15" s="128"/>
      <c r="H15" s="128"/>
      <c r="I15" s="128"/>
      <c r="J15" s="128"/>
      <c r="K15" s="128"/>
      <c r="L15" s="128"/>
      <c r="M15" s="128"/>
      <c r="N15" s="62"/>
    </row>
    <row r="16" spans="1:14" x14ac:dyDescent="0.25">
      <c r="A16" s="62"/>
      <c r="B16" s="66" t="s">
        <v>59</v>
      </c>
      <c r="C16" s="128" t="s">
        <v>78</v>
      </c>
      <c r="D16" s="128"/>
      <c r="E16" s="128"/>
      <c r="F16" s="128"/>
      <c r="G16" s="128"/>
      <c r="H16" s="128"/>
      <c r="I16" s="128"/>
      <c r="J16" s="128"/>
      <c r="K16" s="128"/>
      <c r="L16" s="128"/>
      <c r="M16" s="62"/>
      <c r="N16" s="62"/>
    </row>
    <row r="17" spans="1:19" x14ac:dyDescent="0.25">
      <c r="A17" s="62"/>
      <c r="B17" s="66"/>
      <c r="C17" s="128"/>
      <c r="D17" s="128"/>
      <c r="E17" s="128"/>
      <c r="F17" s="128"/>
      <c r="G17" s="128"/>
      <c r="H17" s="128"/>
      <c r="I17" s="128"/>
      <c r="J17" s="128"/>
      <c r="K17" s="128"/>
      <c r="L17" s="128"/>
      <c r="M17" s="62"/>
      <c r="N17" s="62"/>
    </row>
    <row r="18" spans="1:19" ht="15" customHeight="1" x14ac:dyDescent="0.25">
      <c r="A18" s="62"/>
      <c r="B18" s="66" t="s">
        <v>60</v>
      </c>
      <c r="C18" s="128" t="s">
        <v>106</v>
      </c>
      <c r="D18" s="128"/>
      <c r="E18" s="128"/>
      <c r="F18" s="128"/>
      <c r="G18" s="128"/>
      <c r="H18" s="128"/>
      <c r="I18" s="128"/>
      <c r="J18" s="128"/>
      <c r="K18" s="128"/>
      <c r="L18" s="128"/>
      <c r="M18" s="62"/>
      <c r="N18" s="62"/>
    </row>
    <row r="19" spans="1:19" x14ac:dyDescent="0.25">
      <c r="A19" s="62"/>
      <c r="B19" s="66"/>
      <c r="C19" s="128"/>
      <c r="D19" s="128"/>
      <c r="E19" s="128"/>
      <c r="F19" s="128"/>
      <c r="G19" s="128"/>
      <c r="H19" s="128"/>
      <c r="I19" s="128"/>
      <c r="J19" s="128"/>
      <c r="K19" s="128"/>
      <c r="L19" s="128"/>
      <c r="M19" s="62"/>
      <c r="N19" s="62"/>
    </row>
    <row r="20" spans="1:19" x14ac:dyDescent="0.25">
      <c r="A20" s="62"/>
      <c r="C20" s="128" t="s">
        <v>79</v>
      </c>
      <c r="D20" s="128"/>
      <c r="E20" s="128"/>
      <c r="F20" s="128"/>
      <c r="G20" s="128"/>
      <c r="H20" s="128"/>
      <c r="I20" s="128"/>
      <c r="J20" s="128"/>
      <c r="K20" s="128"/>
      <c r="L20" s="62"/>
      <c r="M20" s="62"/>
      <c r="N20" s="62"/>
    </row>
    <row r="21" spans="1:19" x14ac:dyDescent="0.25">
      <c r="A21" s="62"/>
      <c r="B21" s="66"/>
      <c r="C21" s="128"/>
      <c r="D21" s="128"/>
      <c r="E21" s="128"/>
      <c r="F21" s="128"/>
      <c r="G21" s="128"/>
      <c r="H21" s="128"/>
      <c r="I21" s="128"/>
      <c r="J21" s="128"/>
      <c r="K21" s="128"/>
      <c r="L21" s="62"/>
      <c r="M21" s="62"/>
      <c r="N21" s="62"/>
    </row>
    <row r="22" spans="1:19" x14ac:dyDescent="0.25">
      <c r="A22" s="62"/>
      <c r="B22" s="66"/>
      <c r="C22" s="128" t="s">
        <v>99</v>
      </c>
      <c r="D22" s="128"/>
      <c r="E22" s="128"/>
      <c r="F22" s="128"/>
      <c r="G22" s="128"/>
      <c r="H22" s="128"/>
      <c r="I22" s="128"/>
      <c r="J22" s="128"/>
      <c r="K22" s="128"/>
      <c r="L22" s="128"/>
      <c r="M22" s="65"/>
      <c r="N22" s="62"/>
    </row>
    <row r="23" spans="1:19" x14ac:dyDescent="0.25">
      <c r="A23" s="62"/>
      <c r="B23" s="66"/>
      <c r="C23" s="128"/>
      <c r="D23" s="128"/>
      <c r="E23" s="128"/>
      <c r="F23" s="128"/>
      <c r="G23" s="128"/>
      <c r="H23" s="128"/>
      <c r="I23" s="128"/>
      <c r="J23" s="128"/>
      <c r="K23" s="128"/>
      <c r="L23" s="128"/>
      <c r="M23" s="65"/>
      <c r="N23" s="62"/>
    </row>
    <row r="24" spans="1:19" x14ac:dyDescent="0.25">
      <c r="A24" s="62"/>
      <c r="B24" s="66"/>
      <c r="C24" s="128"/>
      <c r="D24" s="128"/>
      <c r="E24" s="128"/>
      <c r="F24" s="128"/>
      <c r="G24" s="128"/>
      <c r="H24" s="128"/>
      <c r="I24" s="128"/>
      <c r="J24" s="128"/>
      <c r="K24" s="128"/>
      <c r="L24" s="128"/>
      <c r="M24" s="62"/>
      <c r="N24" s="62"/>
      <c r="S24" s="68"/>
    </row>
    <row r="25" spans="1:19" x14ac:dyDescent="0.25">
      <c r="A25" s="62"/>
      <c r="B25" s="66"/>
      <c r="C25" s="128"/>
      <c r="D25" s="128"/>
      <c r="E25" s="128"/>
      <c r="F25" s="128"/>
      <c r="G25" s="128"/>
      <c r="H25" s="128"/>
      <c r="I25" s="128"/>
      <c r="J25" s="128"/>
      <c r="K25" s="128"/>
      <c r="L25" s="128"/>
      <c r="M25" s="62"/>
      <c r="N25" s="62"/>
    </row>
    <row r="26" spans="1:19" x14ac:dyDescent="0.25">
      <c r="A26" s="62"/>
      <c r="B26" s="66"/>
      <c r="C26" s="128"/>
      <c r="D26" s="128"/>
      <c r="E26" s="128"/>
      <c r="F26" s="128"/>
      <c r="G26" s="128"/>
      <c r="H26" s="128"/>
      <c r="I26" s="128"/>
      <c r="J26" s="128"/>
      <c r="K26" s="128"/>
      <c r="L26" s="128"/>
      <c r="M26" s="62"/>
      <c r="N26" s="62"/>
    </row>
    <row r="27" spans="1:19" x14ac:dyDescent="0.25">
      <c r="A27" s="62"/>
      <c r="B27" s="66"/>
      <c r="C27" s="128" t="s">
        <v>100</v>
      </c>
      <c r="D27" s="128"/>
      <c r="E27" s="128"/>
      <c r="F27" s="128"/>
      <c r="G27" s="128"/>
      <c r="H27" s="128"/>
      <c r="I27" s="128"/>
      <c r="J27" s="128"/>
      <c r="K27" s="65"/>
      <c r="L27" s="65"/>
      <c r="M27" s="62"/>
      <c r="N27" s="62"/>
    </row>
    <row r="28" spans="1:19" x14ac:dyDescent="0.25">
      <c r="A28" s="62"/>
      <c r="B28" s="66"/>
      <c r="C28" s="128"/>
      <c r="D28" s="128"/>
      <c r="E28" s="128"/>
      <c r="F28" s="128"/>
      <c r="G28" s="128"/>
      <c r="H28" s="128"/>
      <c r="I28" s="128"/>
      <c r="J28" s="128"/>
      <c r="K28" s="80"/>
      <c r="L28" s="80"/>
      <c r="M28" s="62"/>
      <c r="N28" s="62"/>
    </row>
    <row r="29" spans="1:19" x14ac:dyDescent="0.25">
      <c r="A29" s="62"/>
      <c r="B29" s="66" t="s">
        <v>61</v>
      </c>
      <c r="C29" s="128" t="s">
        <v>67</v>
      </c>
      <c r="D29" s="128"/>
      <c r="E29" s="128"/>
      <c r="F29" s="128"/>
      <c r="G29" s="128"/>
      <c r="H29" s="128"/>
      <c r="I29" s="128"/>
      <c r="J29" s="128"/>
      <c r="K29" s="128"/>
      <c r="L29" s="128"/>
      <c r="M29" s="62"/>
      <c r="N29" s="62"/>
    </row>
    <row r="30" spans="1:19" x14ac:dyDescent="0.25">
      <c r="A30" s="62"/>
      <c r="B30" s="66" t="s">
        <v>68</v>
      </c>
      <c r="C30" s="128" t="s">
        <v>80</v>
      </c>
      <c r="D30" s="128"/>
      <c r="E30" s="128"/>
      <c r="F30" s="128"/>
      <c r="G30" s="128"/>
      <c r="H30" s="128"/>
      <c r="I30" s="128"/>
      <c r="J30" s="128"/>
      <c r="K30" s="128"/>
      <c r="L30" s="128"/>
      <c r="M30" s="62"/>
      <c r="N30" s="62"/>
    </row>
    <row r="31" spans="1:19" x14ac:dyDescent="0.25">
      <c r="A31" s="62"/>
      <c r="B31" s="62"/>
      <c r="C31" s="128"/>
      <c r="D31" s="128"/>
      <c r="E31" s="128"/>
      <c r="F31" s="128"/>
      <c r="G31" s="128"/>
      <c r="H31" s="128"/>
      <c r="I31" s="128"/>
      <c r="J31" s="128"/>
      <c r="K31" s="128"/>
      <c r="L31" s="128"/>
      <c r="M31" s="62"/>
      <c r="N31" s="62"/>
    </row>
    <row r="32" spans="1:19" x14ac:dyDescent="0.25">
      <c r="A32" s="62"/>
      <c r="B32" s="62"/>
      <c r="C32" s="62"/>
      <c r="D32" s="62"/>
      <c r="E32" s="62"/>
      <c r="F32" s="62"/>
      <c r="G32" s="62"/>
      <c r="H32" s="62"/>
      <c r="I32" s="62"/>
      <c r="J32" s="62"/>
      <c r="K32" s="62"/>
      <c r="L32" s="62"/>
      <c r="M32" s="62"/>
      <c r="N32" s="62"/>
    </row>
    <row r="33" spans="1:14" x14ac:dyDescent="0.25">
      <c r="B33" s="62" t="s">
        <v>62</v>
      </c>
      <c r="C33" s="128" t="s">
        <v>81</v>
      </c>
      <c r="D33" s="128"/>
      <c r="E33" s="128"/>
      <c r="F33" s="128"/>
      <c r="G33" s="128"/>
      <c r="H33" s="128"/>
      <c r="I33" s="128"/>
      <c r="J33" s="128"/>
      <c r="K33" s="128"/>
      <c r="L33" s="128"/>
      <c r="M33" s="65"/>
      <c r="N33" s="62"/>
    </row>
    <row r="34" spans="1:14" x14ac:dyDescent="0.25">
      <c r="A34" s="62"/>
      <c r="B34" s="62"/>
      <c r="C34" s="128"/>
      <c r="D34" s="128"/>
      <c r="E34" s="128"/>
      <c r="F34" s="128"/>
      <c r="G34" s="128"/>
      <c r="H34" s="128"/>
      <c r="I34" s="128"/>
      <c r="J34" s="128"/>
      <c r="K34" s="128"/>
      <c r="L34" s="128"/>
      <c r="M34" s="65"/>
      <c r="N34" s="62"/>
    </row>
    <row r="35" spans="1:14" ht="8.25" customHeight="1" x14ac:dyDescent="0.25">
      <c r="A35" s="76"/>
      <c r="B35" s="77"/>
      <c r="C35" s="77"/>
      <c r="D35" s="77"/>
      <c r="E35" s="77"/>
      <c r="F35" s="77"/>
      <c r="G35" s="77"/>
      <c r="H35" s="77"/>
      <c r="I35" s="77"/>
      <c r="J35" s="77"/>
      <c r="K35" s="77"/>
      <c r="L35" s="77"/>
      <c r="M35" s="77"/>
      <c r="N35" s="62"/>
    </row>
    <row r="36" spans="1:14" ht="15" customHeight="1" x14ac:dyDescent="0.25">
      <c r="A36" s="130" t="s">
        <v>107</v>
      </c>
      <c r="B36" s="130"/>
      <c r="C36" s="130"/>
      <c r="D36" s="130"/>
      <c r="E36" s="130"/>
      <c r="F36" s="130"/>
      <c r="G36" s="130"/>
      <c r="H36" s="130"/>
      <c r="I36" s="130"/>
      <c r="J36" s="130"/>
      <c r="K36" s="130"/>
      <c r="L36" s="130"/>
      <c r="M36" s="130"/>
      <c r="N36" s="62"/>
    </row>
    <row r="37" spans="1:14" x14ac:dyDescent="0.25">
      <c r="A37" s="130"/>
      <c r="B37" s="130"/>
      <c r="C37" s="130"/>
      <c r="D37" s="130"/>
      <c r="E37" s="130"/>
      <c r="F37" s="130"/>
      <c r="G37" s="130"/>
      <c r="H37" s="130"/>
      <c r="I37" s="130"/>
      <c r="J37" s="130"/>
      <c r="K37" s="130"/>
      <c r="L37" s="130"/>
      <c r="M37" s="130"/>
      <c r="N37" s="62"/>
    </row>
    <row r="38" spans="1:14" x14ac:dyDescent="0.25">
      <c r="A38" s="130"/>
      <c r="B38" s="130"/>
      <c r="C38" s="130"/>
      <c r="D38" s="130"/>
      <c r="E38" s="130"/>
      <c r="F38" s="130"/>
      <c r="G38" s="130"/>
      <c r="H38" s="130"/>
      <c r="I38" s="130"/>
      <c r="J38" s="130"/>
      <c r="K38" s="130"/>
      <c r="L38" s="130"/>
      <c r="M38" s="130"/>
      <c r="N38" s="62"/>
    </row>
    <row r="39" spans="1:14" x14ac:dyDescent="0.25">
      <c r="A39" s="130"/>
      <c r="B39" s="130"/>
      <c r="C39" s="130"/>
      <c r="D39" s="130"/>
      <c r="E39" s="130"/>
      <c r="F39" s="130"/>
      <c r="G39" s="130"/>
      <c r="H39" s="130"/>
      <c r="I39" s="130"/>
      <c r="J39" s="130"/>
      <c r="K39" s="130"/>
      <c r="L39" s="130"/>
      <c r="M39" s="130"/>
      <c r="N39" s="62"/>
    </row>
    <row r="40" spans="1:14" x14ac:dyDescent="0.25">
      <c r="A40" s="130"/>
      <c r="B40" s="130"/>
      <c r="C40" s="130"/>
      <c r="D40" s="130"/>
      <c r="E40" s="130"/>
      <c r="F40" s="130"/>
      <c r="G40" s="130"/>
      <c r="H40" s="130"/>
      <c r="I40" s="130"/>
      <c r="J40" s="130"/>
      <c r="K40" s="130"/>
      <c r="L40" s="130"/>
      <c r="M40" s="130"/>
    </row>
    <row r="41" spans="1:14" x14ac:dyDescent="0.25">
      <c r="A41" s="67"/>
      <c r="B41" s="67"/>
      <c r="C41" s="67"/>
      <c r="D41" s="67"/>
      <c r="E41" s="67"/>
      <c r="F41" s="67"/>
      <c r="G41" s="67"/>
      <c r="H41" s="67"/>
      <c r="I41" s="67"/>
      <c r="J41" s="67"/>
      <c r="K41" s="67"/>
      <c r="L41" s="67"/>
      <c r="M41" s="67"/>
    </row>
  </sheetData>
  <sheetProtection algorithmName="SHA-512" hashValue="JR0gyXvwIP28S7oH+vgFHDEcfbCyT0rPLG0NA3DSPQMSoKpxW59aTU4NWKVUEl29zZBR6/R2Wp8OZIwTgox1Kw==" saltValue="sPL66CQNWUxPRpSl9TGgtA==" spinCount="100000" sheet="1" objects="1" scenarios="1"/>
  <mergeCells count="15">
    <mergeCell ref="C27:J28"/>
    <mergeCell ref="A4:L5"/>
    <mergeCell ref="C7:K8"/>
    <mergeCell ref="A36:M40"/>
    <mergeCell ref="C10:L11"/>
    <mergeCell ref="C20:K21"/>
    <mergeCell ref="C29:L29"/>
    <mergeCell ref="C30:L31"/>
    <mergeCell ref="C33:L34"/>
    <mergeCell ref="C18:L19"/>
    <mergeCell ref="C13:M13"/>
    <mergeCell ref="C14:M14"/>
    <mergeCell ref="C15:M15"/>
    <mergeCell ref="C16:L17"/>
    <mergeCell ref="C22:L26"/>
  </mergeCells>
  <hyperlinks>
    <hyperlink ref="A2:E2" location="'Apple Replant Budget'!A1" display="Return to Apple (Nursery Tree) Cashflow Budget Worksheet"/>
    <hyperlink ref="B7" r:id="rId1"/>
  </hyperlinks>
  <pageMargins left="0.7" right="0.7" top="0.75" bottom="0.75" header="0.3" footer="0.3"/>
  <pageSetup scale="89"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Apple Replant Budget</vt:lpstr>
      <vt:lpstr>Instructions</vt:lpstr>
      <vt:lpstr>'Apple Replant Budget'!Print_Area</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Geldart</dc:creator>
  <cp:lastModifiedBy>George Geldart</cp:lastModifiedBy>
  <cp:lastPrinted>2015-06-16T15:32:21Z</cp:lastPrinted>
  <dcterms:created xsi:type="dcterms:W3CDTF">2015-03-11T23:14:47Z</dcterms:created>
  <dcterms:modified xsi:type="dcterms:W3CDTF">2015-06-16T15:32:28Z</dcterms:modified>
</cp:coreProperties>
</file>